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7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lnuno.sharepoint.com/sites/sekretariatet/Organisasjon/2 Styringsorganer/2 Styret/2 Sakspapirer/2025/2025-03-10/"/>
    </mc:Choice>
  </mc:AlternateContent>
  <xr:revisionPtr revIDLastSave="157" documentId="8_{57B16D97-11C6-414B-A81C-5EE97C449C81}" xr6:coauthVersionLast="47" xr6:coauthVersionMax="47" xr10:uidLastSave="{1971E907-6A0A-417A-A954-0D35C7190B0E}"/>
  <workbookProtection workbookAlgorithmName="SHA-512" workbookHashValue="NUep219GDMlVXwOkEVe7FI4Rt9VwS5e90JY8tRK7rZ/dEsAcNpggOAnrCP+kWt8Ty+SYoTBmWqLkuR9ICN4swg==" workbookSaltValue="z/EPCIeZOdPTBNim5IZUCg==" workbookSpinCount="100000" lockStructure="1"/>
  <bookViews>
    <workbookView xWindow="-120" yWindow="-120" windowWidth="29040" windowHeight="15720" tabRatio="797" activeTab="4" xr2:uid="{00000000-000D-0000-FFFF-FFFF00000000}"/>
  </bookViews>
  <sheets>
    <sheet name="Budsjett 2024" sheetId="7" r:id="rId1"/>
    <sheet name="Inntekter" sheetId="29" r:id="rId2"/>
    <sheet name="Kompetanse" sheetId="33" r:id="rId3"/>
    <sheet name="Politikk" sheetId="32" r:id="rId4"/>
    <sheet name="Forvaltning" sheetId="28" r:id="rId5"/>
    <sheet name="Kommunikasjon" sheetId="39" r:id="rId6"/>
    <sheet name="Administrasjon" sheetId="36" r:id="rId7"/>
    <sheet name="Lønns- og personalkostnader" sheetId="44" r:id="rId8"/>
    <sheet name="Fordelte felleskostnader" sheetId="31" r:id="rId9"/>
  </sheets>
  <definedNames>
    <definedName name="Årsverk_ADMINISTRASJON">'Lønns- og personalkostnader'!$I$43</definedName>
    <definedName name="Årsverk_AKS">'Lønns- og personalkostnader'!$I$25</definedName>
    <definedName name="Årsverk_Bærekraft_prosjekt">'Lønns- og personalkostnader'!$I$9</definedName>
    <definedName name="Årsverk_Bærekraftsstøtta">'Lønns- og personalkostnader'!$I$28</definedName>
    <definedName name="Årsverk_Flere_med">'Lønns- og personalkostnader'!$I$7</definedName>
    <definedName name="Årsverk_FN_Europa_Norden">'Lønns- og personalkostnader'!$I$17</definedName>
    <definedName name="Årsverk_forum">'Lønns- og personalkostnader'!$I$12</definedName>
    <definedName name="Årsverk_FORVALTNING">'Lønns- og personalkostnader'!$I$30</definedName>
    <definedName name="Årsverk_forvaltningsutveksling">'Lønns- og personalkostnader'!$I$29</definedName>
    <definedName name="Årsverk_Frifond">'Lønns- og personalkostnader'!$I$24</definedName>
    <definedName name="Årsverk_HatHets">'Lønns- og personalkostnader'!$I$8</definedName>
    <definedName name="Årsverk_Ikke_fordeltbare_adm">'Lønns- og personalkostnader'!$I$42</definedName>
    <definedName name="Årsverk_Interessepolitikk">'Lønns- og personalkostnader'!$I$16</definedName>
    <definedName name="Årsverk_Komm">'Lønns- og personalkostnader'!$I$33</definedName>
    <definedName name="Årsverk_KOMMUNIKASJON">'Lønns- og personalkostnader'!$I$34</definedName>
    <definedName name="Årsverk_KOMPETANSE">'Lønns- og personalkostnader'!$I$13</definedName>
    <definedName name="Årsverk_Kultur">'Lønns- og personalkostnader'!$I$26</definedName>
    <definedName name="Årsverk_Kurs_komp_veil">'Lønns- og personalkostnader'!$I$5</definedName>
    <definedName name="Årsverk_Lokaler">'Lønns- og personalkostnader'!$I$10</definedName>
    <definedName name="Årsverk_MI">'Lønns- og personalkostnader'!$I$27</definedName>
    <definedName name="Årsverk_NMR">'Lønns- og personalkostnader'!$I$18</definedName>
    <definedName name="Årsverk_Nord">'Lønns- og personalkostnader'!$I$11</definedName>
    <definedName name="Årsverk_POLITIKK">'Lønns- og personalkostnader'!$I$19</definedName>
    <definedName name="Årsverk_TOTALT">'Lønns- og personalkostnader'!$I$47</definedName>
    <definedName name="Årsverk_Trygg">'Lønns- og personalkostnader'!$I$6</definedName>
    <definedName name="Årsverk_Veiledning_korona">'Lønns- og personalkostnader'!#REF!</definedName>
    <definedName name="Årverk_forvaltningsutveksling">'Lønns- og personalkostnader'!$I$29</definedName>
  </definedName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44" l="1"/>
  <c r="E74" i="33" l="1"/>
  <c r="E24" i="32"/>
  <c r="E22" i="36" l="1"/>
  <c r="E23" i="36"/>
  <c r="E32" i="31"/>
  <c r="E43" i="44"/>
  <c r="E5" i="31"/>
  <c r="E7" i="31"/>
  <c r="E29" i="7"/>
  <c r="D75" i="7"/>
  <c r="E45" i="44"/>
  <c r="E55" i="44"/>
  <c r="E65" i="29"/>
  <c r="E21" i="7" s="1"/>
  <c r="E7" i="36"/>
  <c r="E27" i="33"/>
  <c r="F65" i="29"/>
  <c r="D77" i="33" l="1"/>
  <c r="I43" i="44" l="1"/>
  <c r="I44" i="44" s="1"/>
  <c r="I13" i="44"/>
  <c r="E33" i="32"/>
  <c r="E18" i="32" l="1"/>
  <c r="E61" i="44"/>
  <c r="E63" i="44"/>
  <c r="E62" i="44"/>
  <c r="E60" i="44"/>
  <c r="E65" i="44" s="1"/>
  <c r="F34" i="31"/>
  <c r="E33" i="31"/>
  <c r="E34" i="31" s="1"/>
  <c r="I14" i="44" l="1"/>
  <c r="E9" i="36" l="1"/>
  <c r="E6" i="29"/>
  <c r="D61" i="33" l="1"/>
  <c r="D34" i="7" s="1"/>
  <c r="F56" i="33"/>
  <c r="F38" i="29" s="1"/>
  <c r="E56" i="33"/>
  <c r="E38" i="29" s="1"/>
  <c r="D56" i="33"/>
  <c r="D38" i="29" s="1"/>
  <c r="F51" i="33"/>
  <c r="E51" i="33"/>
  <c r="D51" i="33"/>
  <c r="D65" i="33"/>
  <c r="E65" i="33"/>
  <c r="F65" i="33"/>
  <c r="D62" i="33" l="1"/>
  <c r="F65" i="44" l="1"/>
  <c r="E147" i="33"/>
  <c r="E40" i="7" s="1"/>
  <c r="F147" i="33"/>
  <c r="E87" i="33"/>
  <c r="F50" i="29"/>
  <c r="D84" i="28" l="1"/>
  <c r="D53" i="7" s="1"/>
  <c r="F79" i="28"/>
  <c r="F42" i="29" s="1"/>
  <c r="E79" i="28"/>
  <c r="E42" i="29" s="1"/>
  <c r="D79" i="28"/>
  <c r="D42" i="29" s="1"/>
  <c r="F76" i="28"/>
  <c r="E76" i="28"/>
  <c r="D76" i="28"/>
  <c r="I30" i="44" l="1"/>
  <c r="I31" i="44" s="1"/>
  <c r="D85" i="28"/>
  <c r="E26" i="39" l="1"/>
  <c r="E57" i="7" s="1"/>
  <c r="E10" i="28"/>
  <c r="E91" i="28" l="1"/>
  <c r="F91" i="28"/>
  <c r="E36" i="32"/>
  <c r="D37" i="29" l="1"/>
  <c r="E37" i="29"/>
  <c r="F37" i="29"/>
  <c r="D20" i="29"/>
  <c r="E20" i="29"/>
  <c r="F20" i="29"/>
  <c r="F29" i="7" l="1"/>
  <c r="D29" i="7"/>
  <c r="E71" i="29"/>
  <c r="E23" i="7" s="1"/>
  <c r="E55" i="29"/>
  <c r="E56" i="29" s="1"/>
  <c r="E19" i="7" s="1"/>
  <c r="E50" i="29"/>
  <c r="E51" i="29"/>
  <c r="E39" i="29"/>
  <c r="E41" i="29"/>
  <c r="E24" i="29"/>
  <c r="E25" i="29"/>
  <c r="E16" i="29"/>
  <c r="E12" i="7" s="1"/>
  <c r="E7" i="29"/>
  <c r="E9" i="7" s="1"/>
  <c r="F68" i="29"/>
  <c r="E68" i="29"/>
  <c r="D68" i="29"/>
  <c r="F59" i="29"/>
  <c r="E59" i="29"/>
  <c r="D59" i="29"/>
  <c r="F47" i="29"/>
  <c r="E47" i="29"/>
  <c r="D47" i="29"/>
  <c r="F10" i="29"/>
  <c r="E10" i="29"/>
  <c r="D10" i="29"/>
  <c r="E4" i="29"/>
  <c r="F4" i="29"/>
  <c r="D4" i="29"/>
  <c r="E9" i="33"/>
  <c r="E25" i="33"/>
  <c r="E19" i="29" s="1"/>
  <c r="E41" i="33"/>
  <c r="E70" i="33"/>
  <c r="E21" i="29" s="1"/>
  <c r="E22" i="29"/>
  <c r="E99" i="33"/>
  <c r="E115" i="33"/>
  <c r="E40" i="29" s="1"/>
  <c r="E130" i="33"/>
  <c r="E23" i="29" s="1"/>
  <c r="E142" i="33"/>
  <c r="E135" i="33"/>
  <c r="E39" i="7" s="1"/>
  <c r="F139" i="33"/>
  <c r="E139" i="33"/>
  <c r="D139" i="33"/>
  <c r="F124" i="33"/>
  <c r="E124" i="33"/>
  <c r="D124" i="33"/>
  <c r="F109" i="33"/>
  <c r="E109" i="33"/>
  <c r="D109" i="33"/>
  <c r="F96" i="33"/>
  <c r="E96" i="33"/>
  <c r="D96" i="33"/>
  <c r="F82" i="33"/>
  <c r="E82" i="33"/>
  <c r="D82" i="33"/>
  <c r="F34" i="33"/>
  <c r="E34" i="33"/>
  <c r="D34" i="33"/>
  <c r="F20" i="33"/>
  <c r="E20" i="33"/>
  <c r="D20" i="33"/>
  <c r="E4" i="33"/>
  <c r="F4" i="33"/>
  <c r="D4" i="33"/>
  <c r="E21" i="32"/>
  <c r="F31" i="32"/>
  <c r="E31" i="32"/>
  <c r="D31" i="32"/>
  <c r="F13" i="32"/>
  <c r="E13" i="32"/>
  <c r="D13" i="32"/>
  <c r="E4" i="32"/>
  <c r="F4" i="32"/>
  <c r="D4" i="32"/>
  <c r="E90" i="28"/>
  <c r="E66" i="28"/>
  <c r="E33" i="29" s="1"/>
  <c r="E53" i="28"/>
  <c r="E32" i="29" s="1"/>
  <c r="E39" i="28"/>
  <c r="E31" i="29" s="1"/>
  <c r="E25" i="28"/>
  <c r="E30" i="29" s="1"/>
  <c r="E29" i="29"/>
  <c r="F63" i="28"/>
  <c r="E63" i="28"/>
  <c r="D63" i="28"/>
  <c r="F49" i="28"/>
  <c r="E49" i="28"/>
  <c r="D49" i="28"/>
  <c r="F35" i="28"/>
  <c r="E35" i="28"/>
  <c r="D35" i="28"/>
  <c r="F20" i="28"/>
  <c r="E20" i="28"/>
  <c r="D20" i="28"/>
  <c r="E4" i="28"/>
  <c r="F4" i="28"/>
  <c r="D4" i="28"/>
  <c r="E20" i="39"/>
  <c r="E27" i="39" s="1"/>
  <c r="F15" i="39"/>
  <c r="E15" i="39"/>
  <c r="D15" i="39"/>
  <c r="E4" i="39"/>
  <c r="F4" i="39"/>
  <c r="D4" i="39"/>
  <c r="E11" i="36"/>
  <c r="E61" i="7" s="1"/>
  <c r="G15" i="36"/>
  <c r="E15" i="36"/>
  <c r="D15" i="36"/>
  <c r="E4" i="36"/>
  <c r="G4" i="36"/>
  <c r="D4" i="36"/>
  <c r="F3" i="44"/>
  <c r="E3" i="44"/>
  <c r="D3" i="44"/>
  <c r="F50" i="44"/>
  <c r="D50" i="44"/>
  <c r="E50" i="44"/>
  <c r="E4" i="31"/>
  <c r="F39" i="29"/>
  <c r="D39" i="29"/>
  <c r="D105" i="33"/>
  <c r="D37" i="7" s="1"/>
  <c r="F99" i="33"/>
  <c r="D99" i="33"/>
  <c r="E34" i="29" l="1"/>
  <c r="E14" i="7" s="1"/>
  <c r="E26" i="29"/>
  <c r="E13" i="7" s="1"/>
  <c r="E52" i="29"/>
  <c r="E18" i="7" s="1"/>
  <c r="E17" i="7" s="1"/>
  <c r="E12" i="36"/>
  <c r="E43" i="29"/>
  <c r="E44" i="29" s="1"/>
  <c r="E15" i="7" s="1"/>
  <c r="E148" i="33"/>
  <c r="E136" i="33"/>
  <c r="D106" i="33"/>
  <c r="E11" i="7" l="1"/>
  <c r="E25" i="7" s="1"/>
  <c r="D5" i="31"/>
  <c r="D51" i="29"/>
  <c r="D32" i="31"/>
  <c r="D31" i="31"/>
  <c r="D64" i="44"/>
  <c r="D63" i="44"/>
  <c r="D62" i="44"/>
  <c r="D61" i="44"/>
  <c r="D56" i="44"/>
  <c r="D23" i="36"/>
  <c r="D22" i="36"/>
  <c r="D10" i="39"/>
  <c r="D9" i="39"/>
  <c r="D65" i="28"/>
  <c r="D58" i="28"/>
  <c r="D57" i="28"/>
  <c r="D44" i="28"/>
  <c r="D43" i="28"/>
  <c r="D37" i="28"/>
  <c r="D15" i="28"/>
  <c r="D14" i="28"/>
  <c r="D13" i="28"/>
  <c r="D12" i="28"/>
  <c r="D6" i="28"/>
  <c r="D18" i="32"/>
  <c r="D17" i="32"/>
  <c r="D8" i="32"/>
  <c r="D7" i="32"/>
  <c r="D119" i="33"/>
  <c r="D26" i="32" s="1"/>
  <c r="D118" i="33"/>
  <c r="D114" i="33"/>
  <c r="D115" i="33" s="1"/>
  <c r="D40" i="29" s="1"/>
  <c r="D146" i="33"/>
  <c r="D145" i="33"/>
  <c r="D141" i="33"/>
  <c r="D24" i="29" s="1"/>
  <c r="D76" i="33"/>
  <c r="D67" i="33"/>
  <c r="D46" i="33"/>
  <c r="D45" i="33"/>
  <c r="D29" i="33"/>
  <c r="D28" i="33"/>
  <c r="D15" i="33"/>
  <c r="D14" i="33"/>
  <c r="D8" i="33"/>
  <c r="D55" i="29" s="1"/>
  <c r="D6" i="33"/>
  <c r="D50" i="29" s="1"/>
  <c r="D64" i="29"/>
  <c r="D65" i="29" s="1"/>
  <c r="D14" i="29"/>
  <c r="D13" i="29"/>
  <c r="D6" i="29"/>
  <c r="F73" i="7"/>
  <c r="F72" i="7"/>
  <c r="F55" i="29"/>
  <c r="F56" i="29" s="1"/>
  <c r="F19" i="7" s="1"/>
  <c r="F51" i="29"/>
  <c r="F43" i="29"/>
  <c r="F24" i="29"/>
  <c r="F25" i="29"/>
  <c r="F16" i="29"/>
  <c r="F12" i="7" s="1"/>
  <c r="F7" i="29"/>
  <c r="F9" i="7" s="1"/>
  <c r="F4" i="31"/>
  <c r="G17" i="36"/>
  <c r="G11" i="36"/>
  <c r="G12" i="36" s="1"/>
  <c r="F23" i="39"/>
  <c r="F22" i="39"/>
  <c r="F26" i="39" s="1"/>
  <c r="F57" i="7" s="1"/>
  <c r="F20" i="39"/>
  <c r="F90" i="28"/>
  <c r="F66" i="28"/>
  <c r="F33" i="29" s="1"/>
  <c r="F53" i="28"/>
  <c r="F32" i="29" s="1"/>
  <c r="F39" i="28"/>
  <c r="F31" i="29" s="1"/>
  <c r="F25" i="28"/>
  <c r="F30" i="29" s="1"/>
  <c r="F10" i="28"/>
  <c r="F29" i="29" s="1"/>
  <c r="F36" i="32"/>
  <c r="F41" i="29" s="1"/>
  <c r="F21" i="32"/>
  <c r="F71" i="29"/>
  <c r="F23" i="7" s="1"/>
  <c r="F21" i="7"/>
  <c r="F142" i="33"/>
  <c r="F135" i="33"/>
  <c r="F39" i="7" s="1"/>
  <c r="F130" i="33"/>
  <c r="F115" i="33"/>
  <c r="F40" i="29" s="1"/>
  <c r="F87" i="33"/>
  <c r="F22" i="29" s="1"/>
  <c r="F70" i="33"/>
  <c r="F21" i="29" s="1"/>
  <c r="F41" i="33"/>
  <c r="F25" i="33"/>
  <c r="F19" i="29" s="1"/>
  <c r="F9" i="33"/>
  <c r="D34" i="31" l="1"/>
  <c r="F34" i="29"/>
  <c r="F44" i="29"/>
  <c r="F15" i="7" s="1"/>
  <c r="D120" i="33"/>
  <c r="D147" i="33"/>
  <c r="D40" i="7" s="1"/>
  <c r="F148" i="33"/>
  <c r="F40" i="7"/>
  <c r="F27" i="39"/>
  <c r="F61" i="7"/>
  <c r="D9" i="33"/>
  <c r="D16" i="33"/>
  <c r="D25" i="32"/>
  <c r="F136" i="33"/>
  <c r="F14" i="7"/>
  <c r="F52" i="29"/>
  <c r="F18" i="7" s="1"/>
  <c r="F17" i="7" s="1"/>
  <c r="F23" i="29"/>
  <c r="F26" i="29" s="1"/>
  <c r="F13" i="7" s="1"/>
  <c r="F74" i="7"/>
  <c r="F11" i="7" l="1"/>
  <c r="F25" i="7" s="1"/>
  <c r="D26" i="39" l="1"/>
  <c r="D57" i="7" s="1"/>
  <c r="D20" i="39"/>
  <c r="D11" i="36"/>
  <c r="D27" i="39" l="1"/>
  <c r="D43" i="29"/>
  <c r="I19" i="44" l="1"/>
  <c r="D4" i="31"/>
  <c r="D41" i="32"/>
  <c r="D45" i="7" s="1"/>
  <c r="D36" i="32"/>
  <c r="D41" i="29" s="1"/>
  <c r="D44" i="29" s="1"/>
  <c r="D38" i="7"/>
  <c r="D42" i="32" l="1"/>
  <c r="D121" i="33"/>
  <c r="D142" i="33" l="1"/>
  <c r="D148" i="33" l="1"/>
  <c r="D10" i="28" l="1"/>
  <c r="D29" i="29" s="1"/>
  <c r="D92" i="33" l="1"/>
  <c r="D87" i="33"/>
  <c r="D22" i="29" s="1"/>
  <c r="D93" i="33" l="1"/>
  <c r="D21" i="32"/>
  <c r="D25" i="29" s="1"/>
  <c r="D135" i="33" l="1"/>
  <c r="D130" i="33"/>
  <c r="D23" i="29" s="1"/>
  <c r="D70" i="33"/>
  <c r="D21" i="29" s="1"/>
  <c r="D41" i="33"/>
  <c r="D16" i="29"/>
  <c r="D27" i="32" l="1"/>
  <c r="D28" i="32" s="1"/>
  <c r="D9" i="32"/>
  <c r="D10" i="32" s="1"/>
  <c r="D47" i="33"/>
  <c r="D52" i="29" l="1"/>
  <c r="D25" i="33"/>
  <c r="D19" i="29" s="1"/>
  <c r="D26" i="29" s="1"/>
  <c r="D30" i="33"/>
  <c r="D78" i="33"/>
  <c r="I15" i="44" l="1"/>
  <c r="I23" i="44"/>
  <c r="I32" i="44"/>
  <c r="I34" i="44"/>
  <c r="I35" i="44" l="1"/>
  <c r="I47" i="44"/>
  <c r="I20" i="44"/>
  <c r="F10" i="39" l="1"/>
  <c r="G23" i="36"/>
  <c r="I48" i="44"/>
  <c r="E15" i="44"/>
  <c r="E40" i="44"/>
  <c r="F23" i="44"/>
  <c r="F15" i="44"/>
  <c r="F40" i="44"/>
  <c r="G22" i="36" s="1"/>
  <c r="E66" i="44" l="1"/>
  <c r="E41" i="32"/>
  <c r="E45" i="7" s="1"/>
  <c r="E27" i="32"/>
  <c r="E44" i="7" s="1"/>
  <c r="E35" i="31"/>
  <c r="F66" i="44"/>
  <c r="F84" i="28"/>
  <c r="F32" i="44"/>
  <c r="E9" i="32"/>
  <c r="E43" i="7" s="1"/>
  <c r="E4" i="44"/>
  <c r="G24" i="36"/>
  <c r="G25" i="36" s="1"/>
  <c r="F4" i="44"/>
  <c r="F61" i="33" s="1"/>
  <c r="F34" i="7" s="1"/>
  <c r="F59" i="28"/>
  <c r="F60" i="28" s="1"/>
  <c r="F72" i="28"/>
  <c r="F52" i="7" s="1"/>
  <c r="F45" i="28"/>
  <c r="F50" i="7" s="1"/>
  <c r="F41" i="32"/>
  <c r="F42" i="32" s="1"/>
  <c r="F27" i="32"/>
  <c r="F28" i="32" s="1"/>
  <c r="F9" i="32"/>
  <c r="F43" i="7" s="1"/>
  <c r="F9" i="39" l="1"/>
  <c r="F11" i="39" s="1"/>
  <c r="E42" i="7"/>
  <c r="E61" i="33"/>
  <c r="E34" i="7" s="1"/>
  <c r="E30" i="33"/>
  <c r="F62" i="33"/>
  <c r="F85" i="28"/>
  <c r="F53" i="7"/>
  <c r="F16" i="28"/>
  <c r="F48" i="7" s="1"/>
  <c r="E47" i="33"/>
  <c r="E120" i="33"/>
  <c r="E38" i="7" s="1"/>
  <c r="E105" i="33"/>
  <c r="E37" i="7" s="1"/>
  <c r="E92" i="33"/>
  <c r="E36" i="7" s="1"/>
  <c r="E10" i="32"/>
  <c r="E42" i="32"/>
  <c r="E28" i="32"/>
  <c r="F105" i="33"/>
  <c r="F62" i="7"/>
  <c r="F60" i="7" s="1"/>
  <c r="F46" i="28"/>
  <c r="F30" i="33"/>
  <c r="F31" i="33" s="1"/>
  <c r="F47" i="44"/>
  <c r="F120" i="33"/>
  <c r="F121" i="33" s="1"/>
  <c r="F10" i="32"/>
  <c r="F51" i="7"/>
  <c r="F73" i="28"/>
  <c r="F31" i="28"/>
  <c r="F44" i="7"/>
  <c r="F45" i="7"/>
  <c r="F43" i="32"/>
  <c r="F56" i="7" l="1"/>
  <c r="F55" i="7" s="1"/>
  <c r="F12" i="39"/>
  <c r="E48" i="33"/>
  <c r="E33" i="7"/>
  <c r="E31" i="33"/>
  <c r="E32" i="7"/>
  <c r="E62" i="33"/>
  <c r="F16" i="33"/>
  <c r="F31" i="7" s="1"/>
  <c r="E16" i="33"/>
  <c r="F67" i="44"/>
  <c r="E78" i="33"/>
  <c r="F78" i="33"/>
  <c r="F79" i="33" s="1"/>
  <c r="F92" i="33"/>
  <c r="F93" i="33" s="1"/>
  <c r="F47" i="33"/>
  <c r="F33" i="7" s="1"/>
  <c r="F17" i="28"/>
  <c r="E106" i="33"/>
  <c r="E121" i="33"/>
  <c r="E93" i="33"/>
  <c r="F106" i="33"/>
  <c r="F37" i="7"/>
  <c r="F38" i="7"/>
  <c r="F32" i="7"/>
  <c r="F42" i="7"/>
  <c r="F32" i="28"/>
  <c r="F49" i="7"/>
  <c r="F47" i="7" s="1"/>
  <c r="E79" i="33" l="1"/>
  <c r="E35" i="7"/>
  <c r="E17" i="33"/>
  <c r="E31" i="7"/>
  <c r="F17" i="33"/>
  <c r="F35" i="7"/>
  <c r="F36" i="7"/>
  <c r="F48" i="33"/>
  <c r="D136" i="33"/>
  <c r="E30" i="7" l="1"/>
  <c r="F30" i="7"/>
  <c r="F64" i="7" s="1"/>
  <c r="F66" i="7" s="1"/>
  <c r="D90" i="28"/>
  <c r="D24" i="36" l="1"/>
  <c r="D25" i="36" s="1"/>
  <c r="D12" i="36"/>
  <c r="D61" i="7" l="1"/>
  <c r="D62" i="7"/>
  <c r="D36" i="7" l="1"/>
  <c r="D33" i="7"/>
  <c r="D56" i="29" l="1"/>
  <c r="D19" i="7" s="1"/>
  <c r="D21" i="7"/>
  <c r="D18" i="7" l="1"/>
  <c r="D17" i="7" s="1"/>
  <c r="D48" i="33"/>
  <c r="D32" i="7" l="1"/>
  <c r="D31" i="33" l="1"/>
  <c r="D53" i="28"/>
  <c r="D32" i="29" s="1"/>
  <c r="D72" i="28"/>
  <c r="D52" i="7" s="1"/>
  <c r="D66" i="28"/>
  <c r="D33" i="29" s="1"/>
  <c r="D59" i="28"/>
  <c r="D51" i="7" s="1"/>
  <c r="D45" i="28"/>
  <c r="D50" i="7" s="1"/>
  <c r="D39" i="28"/>
  <c r="D31" i="29" s="1"/>
  <c r="D31" i="28"/>
  <c r="D49" i="7" s="1"/>
  <c r="D25" i="28"/>
  <c r="D30" i="29" s="1"/>
  <c r="D34" i="29" l="1"/>
  <c r="D43" i="7"/>
  <c r="D44" i="7"/>
  <c r="D73" i="28"/>
  <c r="D60" i="28"/>
  <c r="D46" i="28"/>
  <c r="D32" i="28"/>
  <c r="D71" i="29"/>
  <c r="D23" i="7" s="1"/>
  <c r="D7" i="29"/>
  <c r="D9" i="7" s="1"/>
  <c r="D11" i="39"/>
  <c r="D56" i="7" s="1"/>
  <c r="D55" i="7" s="1"/>
  <c r="D42" i="7" l="1"/>
  <c r="D79" i="33"/>
  <c r="D65" i="44"/>
  <c r="D16" i="28"/>
  <c r="D12" i="39"/>
  <c r="D39" i="7"/>
  <c r="D17" i="28" l="1"/>
  <c r="D48" i="7"/>
  <c r="D47" i="7" s="1"/>
  <c r="D35" i="7"/>
  <c r="D17" i="33"/>
  <c r="D31" i="7"/>
  <c r="D30" i="7" l="1"/>
  <c r="D15" i="7"/>
  <c r="D14" i="7" l="1"/>
  <c r="D13" i="7"/>
  <c r="D12" i="7"/>
  <c r="D11" i="7" l="1"/>
  <c r="D25" i="7" s="1"/>
  <c r="D66" i="44"/>
  <c r="D32" i="44" l="1"/>
  <c r="D15" i="44"/>
  <c r="D40" i="44"/>
  <c r="D23" i="44"/>
  <c r="D4" i="44" l="1"/>
  <c r="D47" i="44" s="1"/>
  <c r="D60" i="7" l="1"/>
  <c r="D64" i="7" l="1"/>
  <c r="D66" i="7" s="1"/>
  <c r="E23" i="44" l="1"/>
  <c r="E72" i="28" l="1"/>
  <c r="E52" i="7" s="1"/>
  <c r="E16" i="28"/>
  <c r="E48" i="7" s="1"/>
  <c r="E59" i="28"/>
  <c r="E51" i="7" s="1"/>
  <c r="E31" i="28"/>
  <c r="E49" i="7" s="1"/>
  <c r="E45" i="28"/>
  <c r="E50" i="7" s="1"/>
  <c r="E84" i="28"/>
  <c r="E53" i="7" s="1"/>
  <c r="E47" i="7" l="1"/>
  <c r="E73" i="28"/>
  <c r="E85" i="28"/>
  <c r="E46" i="28"/>
  <c r="E60" i="28"/>
  <c r="E17" i="28"/>
  <c r="E32" i="28"/>
  <c r="E32" i="44" l="1"/>
  <c r="E11" i="39" s="1"/>
  <c r="E56" i="7" s="1"/>
  <c r="E55" i="7" s="1"/>
  <c r="E47" i="44" l="1"/>
  <c r="E12" i="39"/>
  <c r="E48" i="44"/>
  <c r="E24" i="36"/>
  <c r="E25" i="36" s="1"/>
  <c r="E62" i="7" l="1"/>
  <c r="E60" i="7" s="1"/>
  <c r="E64" i="7" s="1"/>
  <c r="E66" i="7" s="1"/>
  <c r="E71" i="7" s="1"/>
  <c r="F71" i="7" s="1"/>
  <c r="F75" i="7" l="1"/>
  <c r="E75" i="7"/>
</calcChain>
</file>

<file path=xl/sharedStrings.xml><?xml version="1.0" encoding="utf-8"?>
<sst xmlns="http://schemas.openxmlformats.org/spreadsheetml/2006/main" count="591" uniqueCount="373">
  <si>
    <t>Aktivitetsregnskap 2024 for Landsrådet for Norges- barne og ungdomsorganisasjoner</t>
  </si>
  <si>
    <t>AKTIVITETSREKNESKAP</t>
  </si>
  <si>
    <t>Inntekter</t>
  </si>
  <si>
    <t>Rekneskap 2023</t>
  </si>
  <si>
    <t>Reknskap 2024</t>
  </si>
  <si>
    <t>Budsjett 2024 rev. 2</t>
  </si>
  <si>
    <t>1 Medlemsinntekter</t>
  </si>
  <si>
    <t>2 Tilskot</t>
  </si>
  <si>
    <t>2.1</t>
  </si>
  <si>
    <t>Offentlege tilskot, drift</t>
  </si>
  <si>
    <t>2.2</t>
  </si>
  <si>
    <t>Offentlege tilskot, prosjekt</t>
  </si>
  <si>
    <t>2.3</t>
  </si>
  <si>
    <t>Offentlege tilskot, adm. støtteordningar</t>
  </si>
  <si>
    <t>2.4</t>
  </si>
  <si>
    <t>Andre tilskot</t>
  </si>
  <si>
    <t>3 Inntekter frå aktivitetar</t>
  </si>
  <si>
    <t>3.1</t>
  </si>
  <si>
    <t>Deltakaravgift</t>
  </si>
  <si>
    <t>3.2</t>
  </si>
  <si>
    <t>Honorar</t>
  </si>
  <si>
    <t>4 Finans og investeringsinntekter</t>
  </si>
  <si>
    <t>5 Andre inntekter</t>
  </si>
  <si>
    <t>Sum inntekter</t>
  </si>
  <si>
    <t>Utgifter</t>
  </si>
  <si>
    <t>Kostnadar til formålet</t>
  </si>
  <si>
    <t>6 Kompetanse</t>
  </si>
  <si>
    <t>6.1</t>
  </si>
  <si>
    <t>Kurs, kompetanse og rettleiing</t>
  </si>
  <si>
    <t>6.2</t>
  </si>
  <si>
    <t>Trygg!</t>
  </si>
  <si>
    <t>6.3</t>
  </si>
  <si>
    <t>Styrk</t>
  </si>
  <si>
    <t>6.4</t>
  </si>
  <si>
    <t>Forprosjekt hat og hets</t>
  </si>
  <si>
    <t>6.5</t>
  </si>
  <si>
    <t>Berekraftprosjektet</t>
  </si>
  <si>
    <t>6.6</t>
  </si>
  <si>
    <t>Portal for lokale</t>
  </si>
  <si>
    <t>6.7</t>
  </si>
  <si>
    <t>Forum for barnekonvensjonen</t>
  </si>
  <si>
    <t>6.8</t>
  </si>
  <si>
    <t>Nord-prosjektet</t>
  </si>
  <si>
    <t>6.9</t>
  </si>
  <si>
    <t>Rettleiing etter korona</t>
  </si>
  <si>
    <t>6.10</t>
  </si>
  <si>
    <t>Klimautvalet 2050</t>
  </si>
  <si>
    <t>7 Politikk</t>
  </si>
  <si>
    <t>7.1</t>
  </si>
  <si>
    <t>Interessepolitikk og påverknad</t>
  </si>
  <si>
    <t>7.2</t>
  </si>
  <si>
    <t>FN, Europa og Norden</t>
  </si>
  <si>
    <t>7.3</t>
  </si>
  <si>
    <t>Nettverk for berekraftig utvikling</t>
  </si>
  <si>
    <t>8 Forvaltning</t>
  </si>
  <si>
    <t>8.1</t>
  </si>
  <si>
    <t>Frifond adm.</t>
  </si>
  <si>
    <t>8.2</t>
  </si>
  <si>
    <t>Aktivitetsstøtta adm.</t>
  </si>
  <si>
    <t>8.3</t>
  </si>
  <si>
    <t>Kulturstøtta adm.</t>
  </si>
  <si>
    <t>8.4</t>
  </si>
  <si>
    <t>Mangfald- og inkluderingsstøtta adm.</t>
  </si>
  <si>
    <t>8.5</t>
  </si>
  <si>
    <t>Berekraftsstøtta adm.</t>
  </si>
  <si>
    <t>8.6</t>
  </si>
  <si>
    <t>Forvaltningsutveksling</t>
  </si>
  <si>
    <t>9 Kommunikasjon</t>
  </si>
  <si>
    <t>9.1</t>
  </si>
  <si>
    <t>Kommunikasjonsarbeid</t>
  </si>
  <si>
    <t>9.2</t>
  </si>
  <si>
    <t>Frivillighetens år</t>
  </si>
  <si>
    <t>Administrasjonskostnadar</t>
  </si>
  <si>
    <t>10 Administrasjon</t>
  </si>
  <si>
    <t>10.1</t>
  </si>
  <si>
    <t>Styrande organ / leiar</t>
  </si>
  <si>
    <t>10.2</t>
  </si>
  <si>
    <t>Ikkje-fordelbare administrative kostnadar</t>
  </si>
  <si>
    <t>Sum utgifter</t>
  </si>
  <si>
    <t>Aktivitetsresultat</t>
  </si>
  <si>
    <t>Tillegg/reduksjon formålskapital</t>
  </si>
  <si>
    <t>Eigenkapital</t>
  </si>
  <si>
    <t>Eigenkapital 01.01.2024</t>
  </si>
  <si>
    <t>Foreslått disp. årsres. 2024</t>
  </si>
  <si>
    <t>Budsjettert 31.12.2024</t>
  </si>
  <si>
    <t>Reservefondet</t>
  </si>
  <si>
    <t>Kontorfondet</t>
  </si>
  <si>
    <t>Avsetning søknadsportal</t>
  </si>
  <si>
    <t>Fri eigenkapital</t>
  </si>
  <si>
    <t>Sum eigenkapital</t>
  </si>
  <si>
    <t>Konto/prosjekt</t>
  </si>
  <si>
    <t>1 MEDLEMSINNTEKTER</t>
  </si>
  <si>
    <t>Medlemskontingenter</t>
  </si>
  <si>
    <t>Sum</t>
  </si>
  <si>
    <t>2 TILSKOT</t>
  </si>
  <si>
    <t>2.1 OFFENTLEGE TILSKOT, DRIFT</t>
  </si>
  <si>
    <r>
      <t xml:space="preserve">Driftstilskot nasjonalt arbeid </t>
    </r>
    <r>
      <rPr>
        <i/>
        <sz val="11"/>
        <rFont val="Trebuchet MS"/>
        <family val="2"/>
      </rPr>
      <t>(Bufdir)</t>
    </r>
  </si>
  <si>
    <r>
      <t xml:space="preserve">Driftstilskot internasjonalt arbeid </t>
    </r>
    <r>
      <rPr>
        <i/>
        <sz val="11"/>
        <rFont val="Trebuchet MS"/>
        <family val="2"/>
      </rPr>
      <t>(Bufdir)</t>
    </r>
  </si>
  <si>
    <r>
      <t xml:space="preserve">Momskompensasjon </t>
    </r>
    <r>
      <rPr>
        <i/>
        <sz val="11"/>
        <rFont val="Trebuchet MS"/>
        <family val="2"/>
      </rPr>
      <t>(Lottstift)</t>
    </r>
  </si>
  <si>
    <t>2.2 OFFENTLEGE TILSKOT, PROSJEKT</t>
  </si>
  <si>
    <r>
      <t xml:space="preserve">Prosjektmidlar Trygg </t>
    </r>
    <r>
      <rPr>
        <i/>
        <sz val="11"/>
        <rFont val="Trebuchet MS"/>
        <family val="2"/>
      </rPr>
      <t>(Helsedir)</t>
    </r>
  </si>
  <si>
    <t>Prosjektmidlar Styrk (IMDi)</t>
  </si>
  <si>
    <r>
      <t xml:space="preserve">Prosjektmidlar Berekraftprosjektet </t>
    </r>
    <r>
      <rPr>
        <i/>
        <sz val="11"/>
        <rFont val="Trebuchet MS"/>
        <family val="2"/>
      </rPr>
      <t>(Norad)</t>
    </r>
  </si>
  <si>
    <r>
      <t xml:space="preserve">Prosjektmidlar Portal for lokale </t>
    </r>
    <r>
      <rPr>
        <i/>
        <sz val="11"/>
        <rFont val="Trebuchet MS"/>
        <family val="2"/>
      </rPr>
      <t>(Bufdir)</t>
    </r>
  </si>
  <si>
    <r>
      <t xml:space="preserve">Prosjektmidlar Rettleiing etter Korona </t>
    </r>
    <r>
      <rPr>
        <i/>
        <sz val="11"/>
        <rFont val="Trebuchet MS"/>
        <family val="2"/>
      </rPr>
      <t>(KUD)</t>
    </r>
  </si>
  <si>
    <t>Prosjekt avslutta i 2023.</t>
  </si>
  <si>
    <t>Prosjektmidlar Klimautvalet 2050 (KLD)</t>
  </si>
  <si>
    <r>
      <t xml:space="preserve">Reisestøtte ungdomsdelegatar </t>
    </r>
    <r>
      <rPr>
        <i/>
        <sz val="11"/>
        <rFont val="Trebuchet MS"/>
        <family val="2"/>
      </rPr>
      <t>(flere)</t>
    </r>
  </si>
  <si>
    <t>2.3 OFFENTLEGE TILSKOT, ADM. STØTTEORDNINGAR</t>
  </si>
  <si>
    <r>
      <t xml:space="preserve">Adm.tilskot Frifond </t>
    </r>
    <r>
      <rPr>
        <i/>
        <sz val="11"/>
        <rFont val="Trebuchet MS"/>
        <family val="2"/>
      </rPr>
      <t>(KUD)</t>
    </r>
  </si>
  <si>
    <r>
      <t xml:space="preserve">Adm.tilskot Aktivitetsstøtta </t>
    </r>
    <r>
      <rPr>
        <i/>
        <sz val="11"/>
        <rFont val="Trebuchet MS"/>
        <family val="2"/>
      </rPr>
      <t>(KUD)</t>
    </r>
  </si>
  <si>
    <r>
      <t xml:space="preserve">Adm.tilskot Kulturstøtta </t>
    </r>
    <r>
      <rPr>
        <i/>
        <sz val="11"/>
        <rFont val="Trebuchet MS"/>
        <family val="2"/>
      </rPr>
      <t>(KUD)</t>
    </r>
  </si>
  <si>
    <t>22000</t>
  </si>
  <si>
    <r>
      <t xml:space="preserve">Adm.tilskot Mangfald- og inkluderingsstøtta </t>
    </r>
    <r>
      <rPr>
        <i/>
        <sz val="11"/>
        <rFont val="Trebuchet MS"/>
        <family val="2"/>
      </rPr>
      <t>(BLD)</t>
    </r>
  </si>
  <si>
    <t>60000</t>
  </si>
  <si>
    <r>
      <t xml:space="preserve">Adm.tilskot Berekraftsstøtta </t>
    </r>
    <r>
      <rPr>
        <i/>
        <sz val="11"/>
        <rFont val="Trebuchet MS"/>
        <family val="2"/>
      </rPr>
      <t>(Norad)</t>
    </r>
  </si>
  <si>
    <t>2.4 ANDRE TILSKOT</t>
  </si>
  <si>
    <t>Prosjektmidlar Leiarnettverk Styrk (Gjensidigestiftelsen)</t>
  </si>
  <si>
    <t>xxxxx</t>
  </si>
  <si>
    <t>Prosjektmidler Forprosjekt hat og hets (Sparebankstiftelsen DNB)</t>
  </si>
  <si>
    <t>Prosjektmidlar Forum for barnekonvensjonen (Redd Barna)</t>
  </si>
  <si>
    <t>Prosjektmidlar NORD (Nord/DUF)</t>
  </si>
  <si>
    <t>Prosjektmidlar Ungdomsnettverk for berekraftig utvikling (NMR)</t>
  </si>
  <si>
    <t>Prosjektmidlar Forvaltningsutveksling (NMR)</t>
  </si>
  <si>
    <t>Prosjektmidlar Frivillighetens år (Frivillighet Norge)</t>
  </si>
  <si>
    <t>Prosjekt avslutta i 2022</t>
  </si>
  <si>
    <t>3 INNTEKTER FRÅ AKTIVITETAR</t>
  </si>
  <si>
    <t>3.1 DELTAKARAVGIFT</t>
  </si>
  <si>
    <t>Deltakaravgift LNU-kurs</t>
  </si>
  <si>
    <t>Deltakaravgift nettverk</t>
  </si>
  <si>
    <t>3.2 HONORARER</t>
  </si>
  <si>
    <t>Honorar Lån en LNUer</t>
  </si>
  <si>
    <t>4 FINANS OG INVESTERINGSINNTEKTER</t>
  </si>
  <si>
    <t>Renteinntekter bank</t>
  </si>
  <si>
    <t>Renteinntekter PLUSS Kort Likviditet (Fondsforvaltning)</t>
  </si>
  <si>
    <t>Renteinntekter PLUSS Rente (Fondsforvaltning)</t>
  </si>
  <si>
    <t>Andre finansinntekter</t>
  </si>
  <si>
    <t>Kundeutbytte Gjensidige o.a.</t>
  </si>
  <si>
    <t>5 ANDRE INNTEKTER</t>
  </si>
  <si>
    <t>99100</t>
  </si>
  <si>
    <t>Andre inntekter</t>
  </si>
  <si>
    <t>KURS, KOMPETANSE OG RETTLEIING</t>
  </si>
  <si>
    <t>INNTEKTER</t>
  </si>
  <si>
    <t>3600.20200</t>
  </si>
  <si>
    <t>Deltakeravgift LNU-kurs</t>
  </si>
  <si>
    <t>HMS-kurs for daglig ledere, hadde ekstern kursholder, som ga tilsvarende økt utgift</t>
  </si>
  <si>
    <t>3600.20250</t>
  </si>
  <si>
    <t>Deltakeravgift nettverk</t>
  </si>
  <si>
    <t>Lavere deltagertall</t>
  </si>
  <si>
    <t>3120.20300</t>
  </si>
  <si>
    <t>Honorar Lån ein LNUar</t>
  </si>
  <si>
    <t>UTGIFTER</t>
  </si>
  <si>
    <t>LNU-kurs</t>
  </si>
  <si>
    <t>HMS-kurs med ekstern kursholder</t>
  </si>
  <si>
    <t>Nettverk</t>
  </si>
  <si>
    <t>Lån ein LNUar</t>
  </si>
  <si>
    <t>Større oppdrag for Norsk musikkorps forbund er lagt her</t>
  </si>
  <si>
    <t>Lønns- og personalkostnadar</t>
  </si>
  <si>
    <t>Fordelte felleskostnadar</t>
  </si>
  <si>
    <t>TRYGG!</t>
  </si>
  <si>
    <r>
      <t xml:space="preserve">Prosjekttilskot </t>
    </r>
    <r>
      <rPr>
        <i/>
        <sz val="11"/>
        <rFont val="Trebuchet MS"/>
        <family val="2"/>
      </rPr>
      <t>(Helsedir)</t>
    </r>
  </si>
  <si>
    <t>Restmidlar frå fjoråret</t>
  </si>
  <si>
    <t>Ubrukte midlar overført til neste år</t>
  </si>
  <si>
    <t>Ubrukte midler er overført til 2025</t>
  </si>
  <si>
    <t>Generelle prosjektkostnadar</t>
  </si>
  <si>
    <t>STYRK</t>
  </si>
  <si>
    <t>Prosjekttilskot (IMDi)</t>
  </si>
  <si>
    <t>Prosjkttilskot mentorprogram (IMDi)</t>
  </si>
  <si>
    <t>Tilskot leiarnettverk (Gjensidigestiftelsen)</t>
  </si>
  <si>
    <t>Leiarnettverk</t>
  </si>
  <si>
    <t>FORPROSJEKT HAT OG HETS</t>
  </si>
  <si>
    <r>
      <t xml:space="preserve">Prosjekttilskot </t>
    </r>
    <r>
      <rPr>
        <i/>
        <sz val="11"/>
        <rFont val="Trebuchet MS"/>
        <family val="2"/>
      </rPr>
      <t>(Sparebankstiftelsen DNB)</t>
    </r>
  </si>
  <si>
    <t>Overført til 2025</t>
  </si>
  <si>
    <t>BEREKRAFTPROSJEKTET</t>
  </si>
  <si>
    <t>Prosjekttilskot (Norad)</t>
  </si>
  <si>
    <t>Administrasjon av prosjekt</t>
  </si>
  <si>
    <t>Kompetansearbeid</t>
  </si>
  <si>
    <t>Ungdomsmedverknad</t>
  </si>
  <si>
    <t>Tverrgåande aktivitetar</t>
  </si>
  <si>
    <t>PORTAL FOR LOKALE</t>
  </si>
  <si>
    <t>Prosjekttilskot (Bufdir)</t>
  </si>
  <si>
    <t>Vidareutvikling portal for lokale</t>
  </si>
  <si>
    <t>Mer av arbeidet med prosjektet er satt t til eksterne</t>
  </si>
  <si>
    <t>FORUM FOR BARNEKONVENSJONEN</t>
  </si>
  <si>
    <r>
      <t xml:space="preserve">Prosjekttilskot </t>
    </r>
    <r>
      <rPr>
        <i/>
        <sz val="11"/>
        <rFont val="Trebuchet MS"/>
        <family val="2"/>
      </rPr>
      <t>(Redd Barna)</t>
    </r>
  </si>
  <si>
    <t>Generelle prosjektkostnadar og lønnskostnadar Press</t>
  </si>
  <si>
    <t>Generelle prosjektkostnadar LNU</t>
  </si>
  <si>
    <t>NORD-PROSJEKTET</t>
  </si>
  <si>
    <t>Prosjekt avslutta april 2024. Støtte mottatt i 2023, men refusjonar for enkelte utgifter mottatt i 2024.</t>
  </si>
  <si>
    <r>
      <t xml:space="preserve">Prosjekttilskot, lønnsbidrag </t>
    </r>
    <r>
      <rPr>
        <i/>
        <sz val="11"/>
        <rFont val="Trebuchet MS"/>
        <family val="2"/>
      </rPr>
      <t>(Nord/DUF)</t>
    </r>
  </si>
  <si>
    <r>
      <t xml:space="preserve">Refusjonar Nord-prosjekt </t>
    </r>
    <r>
      <rPr>
        <i/>
        <sz val="11"/>
        <rFont val="Trebuchet MS"/>
        <family val="2"/>
      </rPr>
      <t>(Nord/DUF)</t>
    </r>
  </si>
  <si>
    <t>Prosjektet ble videreført til 2025, men inntekter kommer i 2025</t>
  </si>
  <si>
    <t>RETTLEIING ETTER KORONA</t>
  </si>
  <si>
    <t>Prosjektmidlar frå Frifond-restmidlar (KUD)</t>
  </si>
  <si>
    <t>Ubrukte midlar overført tilbake til Frifond</t>
  </si>
  <si>
    <t>KLIMAUTVALET 2050</t>
  </si>
  <si>
    <t>Prosjektilskot (KLD)</t>
  </si>
  <si>
    <t>Lønnsbidrag</t>
  </si>
  <si>
    <t>Kontroll lønnskost</t>
  </si>
  <si>
    <t>INTERESSEPOLITIKK OG PÅVERKNAD</t>
  </si>
  <si>
    <t>Interessepolitisk arbeid nasjonalt</t>
  </si>
  <si>
    <t>FN, EUROPA OG NORDEN</t>
  </si>
  <si>
    <t>3400.48000</t>
  </si>
  <si>
    <r>
      <t xml:space="preserve">Ungdomsdelegat menneskerettar </t>
    </r>
    <r>
      <rPr>
        <i/>
        <sz val="11"/>
        <rFont val="Trebuchet MS"/>
        <family val="2"/>
      </rPr>
      <t>(UD)</t>
    </r>
  </si>
  <si>
    <t>Hadde lavere kostnader</t>
  </si>
  <si>
    <t>Ungdomsdeletat berekraftig utvikling (UD)</t>
  </si>
  <si>
    <r>
      <t xml:space="preserve">Ungdomsdeletat global helse </t>
    </r>
    <r>
      <rPr>
        <i/>
        <sz val="11"/>
        <rFont val="Trebuchet MS"/>
        <family val="2"/>
      </rPr>
      <t>(HOD)</t>
    </r>
  </si>
  <si>
    <r>
      <t xml:space="preserve">Ungdomsdelegat klima </t>
    </r>
    <r>
      <rPr>
        <i/>
        <sz val="11"/>
        <rFont val="Trebuchet MS"/>
        <family val="2"/>
      </rPr>
      <t>(KLD)</t>
    </r>
  </si>
  <si>
    <r>
      <t xml:space="preserve">Ungdomsdelegat biologisk mangfald </t>
    </r>
    <r>
      <rPr>
        <i/>
        <sz val="11"/>
        <rFont val="Trebuchet MS"/>
        <family val="2"/>
      </rPr>
      <t>(KLD)</t>
    </r>
  </si>
  <si>
    <r>
      <t xml:space="preserve">Ungdomsdelegat likestilling </t>
    </r>
    <r>
      <rPr>
        <i/>
        <sz val="11"/>
        <rFont val="Trebuchet MS"/>
        <family val="2"/>
      </rPr>
      <t>(KUD)</t>
    </r>
  </si>
  <si>
    <t>Norden, Europa, YFJ</t>
  </si>
  <si>
    <t>FN-arbeid og ungdomsdelegatar</t>
  </si>
  <si>
    <t>UNGDOMSNETTVERK FOR BEREKRAFTIG UTVIKLING</t>
  </si>
  <si>
    <r>
      <t xml:space="preserve">Prosjekttilskot </t>
    </r>
    <r>
      <rPr>
        <i/>
        <sz val="11"/>
        <rFont val="Trebuchet MS"/>
        <family val="2"/>
      </rPr>
      <t>(Nordisk ministerråd)</t>
    </r>
  </si>
  <si>
    <t>Deler av tilskuddet var avhengig av behov</t>
  </si>
  <si>
    <t>Restmidlar fra fjoråret</t>
  </si>
  <si>
    <t>Ubrukte midlear overført til neste år</t>
  </si>
  <si>
    <t>FRIFOND ADM.</t>
  </si>
  <si>
    <t>Adm.tilskot Frifond (KUD)</t>
  </si>
  <si>
    <t>Restmidlar frå støttordning til trekking av inkasso-saker</t>
  </si>
  <si>
    <t>Generelt (infoarbeid, møte, revisjon m.m.)</t>
  </si>
  <si>
    <t>Søknadsportal (andel)</t>
  </si>
  <si>
    <t>AKTIVITETSSTØTTA ADM.</t>
  </si>
  <si>
    <t>Adm.tilskot Aktivitetsstøtta (KUD)</t>
  </si>
  <si>
    <t>Flerårige advokatkostnader</t>
  </si>
  <si>
    <t>KULTURSTØTTA ADM.</t>
  </si>
  <si>
    <t>Adm.tilskot Kulturstøtta (KUD)</t>
  </si>
  <si>
    <t>Ubrukte midlar flyttet til utdeling</t>
  </si>
  <si>
    <t>MANGFALD- OG INKLUDERINGSSTØTTA ADM.</t>
  </si>
  <si>
    <t>Adm.tilskot Mangfald- og inkluderingsstøtta (BLD)</t>
  </si>
  <si>
    <t>RESULTAT</t>
  </si>
  <si>
    <t>BEREKRAFTSTØTTA ADM.</t>
  </si>
  <si>
    <t>Adm.tilskot Berekraftstøtta (Norad)</t>
  </si>
  <si>
    <t>FORVALTNINGSUTVEKSLING</t>
  </si>
  <si>
    <t>Adm.tilskot Forvaltningsutveksling (NMR)</t>
  </si>
  <si>
    <t>Generelt</t>
  </si>
  <si>
    <t>Fordelingsnøkkel - felleskostnadar støtteordningane*</t>
  </si>
  <si>
    <t>Søknadsportal</t>
  </si>
  <si>
    <t>Lavere support og utviklingskostander</t>
  </si>
  <si>
    <t>*I rekneskap 2023 er dette fordelt etter tal søknadar i støtteordningane. I 2024 er det fordelt etter tal årsverk per støtteordning.</t>
  </si>
  <si>
    <t>KOMMUNIKASJON</t>
  </si>
  <si>
    <t>Medieovervaking</t>
  </si>
  <si>
    <t>Nettsider</t>
  </si>
  <si>
    <t>Ikke brukt ekstern utvikling</t>
  </si>
  <si>
    <t>Informasjonsarbeid</t>
  </si>
  <si>
    <t>Regnefeil i budsjettet</t>
  </si>
  <si>
    <t>FRIVILLIGHETENS ÅR</t>
  </si>
  <si>
    <t>Prosjekt avslutta i 2022.</t>
  </si>
  <si>
    <t>Prosjekttilskot Frivillighet Norge</t>
  </si>
  <si>
    <t>Prosjekttilskot NORDBUK</t>
  </si>
  <si>
    <t>Restmidlar overført til neste år</t>
  </si>
  <si>
    <t>Prosjektkostnadar Fest i Parken</t>
  </si>
  <si>
    <t>Prosjektkostnadar internasjonalt program</t>
  </si>
  <si>
    <t>STYRANDE ORGAN / LEIAR</t>
  </si>
  <si>
    <t>Barne- og ungdomstinget</t>
  </si>
  <si>
    <t>Styrearbeid</t>
  </si>
  <si>
    <t>Telefon/avis leiar</t>
  </si>
  <si>
    <t>Frikjøp leiar</t>
  </si>
  <si>
    <t>Inkl AGA, feriepenger m.m.</t>
  </si>
  <si>
    <t>AU-honorar</t>
  </si>
  <si>
    <t>Inkl AGA.</t>
  </si>
  <si>
    <t>IKKJE-FORDELBARE ADMINISTRATIVE KOSTNADAR</t>
  </si>
  <si>
    <t>Personalmøte</t>
  </si>
  <si>
    <t>Må ses i sammenheng med posten under</t>
  </si>
  <si>
    <t>Sosialt</t>
  </si>
  <si>
    <t>Må ses i sammenheng med posten over</t>
  </si>
  <si>
    <t>Konferanse, reise og representasjon</t>
  </si>
  <si>
    <t>Bankkostnadar og fakturagebyr</t>
  </si>
  <si>
    <t>Fri telefon/avis/anna generalsekretær/leiinga</t>
  </si>
  <si>
    <t>Avskrivingar investering ny søknadsportal</t>
  </si>
  <si>
    <t>Deler av inveteringene var ferdig avskrevet i løpet av 2024</t>
  </si>
  <si>
    <t>Lønns- og personalkostnader</t>
  </si>
  <si>
    <t>Kompetanse</t>
  </si>
  <si>
    <t>Fordeling på budsjettposter</t>
  </si>
  <si>
    <t>Brukte årsverk 2024</t>
  </si>
  <si>
    <t>5001+5020</t>
  </si>
  <si>
    <t>Lønn faste tilsette</t>
  </si>
  <si>
    <t>6.1 Kurs, kompetanse og veiledning</t>
  </si>
  <si>
    <t>Påkomne feriepengar</t>
  </si>
  <si>
    <t>6.2 Trygg!</t>
  </si>
  <si>
    <t>5400+5401</t>
  </si>
  <si>
    <t>Arbeidsgjevaravgift</t>
  </si>
  <si>
    <t>6.3 Styrk</t>
  </si>
  <si>
    <t>5800+5803</t>
  </si>
  <si>
    <t>Refusjon sjuke-/foreldrepengar</t>
  </si>
  <si>
    <t>6.4 Forprosjekt hat og hets</t>
  </si>
  <si>
    <t>Andre personalkostnadar (andel)</t>
  </si>
  <si>
    <t>6.5 Bærekraftsmålene</t>
  </si>
  <si>
    <t>6.6 Tilgang til lokaler</t>
  </si>
  <si>
    <t>6.7 Nord-prosjektet</t>
  </si>
  <si>
    <t>6.8 Forum for barnekonvensjonen</t>
  </si>
  <si>
    <t>Kontroll mot lønnsbudsjett</t>
  </si>
  <si>
    <t>Politikk</t>
  </si>
  <si>
    <t>7.1 Interessepolitikk og påvirkning</t>
  </si>
  <si>
    <t>7.2 FN, Europa og Norden</t>
  </si>
  <si>
    <t>7.3 Ungdomsnettverk for bærekraftig utvikling</t>
  </si>
  <si>
    <t>Refusjon av sjuke-/foreldrepengar</t>
  </si>
  <si>
    <t>Forvaltning</t>
  </si>
  <si>
    <t>8.1 Frifond adm.</t>
  </si>
  <si>
    <t>8.2 Aktivitetsstøtta adm.</t>
  </si>
  <si>
    <t>8.3 Kulturstøtta adm.</t>
  </si>
  <si>
    <t>8.4 Mangfold- og inkluderingsstøtta adm.</t>
  </si>
  <si>
    <t>8.5 Bærekraftsstøtta adm.</t>
  </si>
  <si>
    <t>8.6 Forvaltningsutveksling</t>
  </si>
  <si>
    <t>Kommunikasjon</t>
  </si>
  <si>
    <t>9.1 Kommunikasjonsarbeid</t>
  </si>
  <si>
    <t>Administrasjon</t>
  </si>
  <si>
    <t>10.1 Styrende organer / leder</t>
  </si>
  <si>
    <t>10.2 Ikke fordelbare administrative kostnader</t>
  </si>
  <si>
    <t>Totalt antall årsverk:</t>
  </si>
  <si>
    <t>Kontroll mot budsjettposter OK</t>
  </si>
  <si>
    <t>Andre personalkostnadar</t>
  </si>
  <si>
    <t>Gåve til tilsette</t>
  </si>
  <si>
    <t>Kantinekostnad</t>
  </si>
  <si>
    <t>Lønnstrekk kantinekostnadar</t>
  </si>
  <si>
    <t>Overtidsmat</t>
  </si>
  <si>
    <t>Yrkesskadeforsikring</t>
  </si>
  <si>
    <t>Pensjonsforsikring OTP</t>
  </si>
  <si>
    <t>Pensjonsforsikring AFP</t>
  </si>
  <si>
    <t>Sliterordninga</t>
  </si>
  <si>
    <t>Ordningen ble avskaffet</t>
  </si>
  <si>
    <t>OU-samordninga</t>
  </si>
  <si>
    <t>Reiseforsikring</t>
  </si>
  <si>
    <t>5980+6860</t>
  </si>
  <si>
    <t>Kurs/opplæring (kompetansebygging)</t>
  </si>
  <si>
    <t>Diverse sosiale kostnadar</t>
  </si>
  <si>
    <t>Flere</t>
  </si>
  <si>
    <t>Helsefremjande tiltak (HMS)</t>
  </si>
  <si>
    <t>Rekruttering</t>
  </si>
  <si>
    <t>Flere utlyste stillinger</t>
  </si>
  <si>
    <t>Kontroll OK</t>
  </si>
  <si>
    <t>Kontroll lønnsbudsjett OK</t>
  </si>
  <si>
    <t>Fordelte felleskostnader</t>
  </si>
  <si>
    <t>FORDELTE FELLESKOSTNADER</t>
  </si>
  <si>
    <t>Avskrivning varige driftsmidler</t>
  </si>
  <si>
    <t>Avskriving ombyggingskostnader CK10</t>
  </si>
  <si>
    <t>Frakt, transport, forsikring v/varefors</t>
  </si>
  <si>
    <t>Husleie inkl. felleskostnader og strøm</t>
  </si>
  <si>
    <t>Inkludert renhold</t>
  </si>
  <si>
    <t>Renhold</t>
  </si>
  <si>
    <t>Renhold inkludert i husleie</t>
  </si>
  <si>
    <t>Annen kostnad lokaler</t>
  </si>
  <si>
    <t>Postboks</t>
  </si>
  <si>
    <t>Leie kontormaskiner</t>
  </si>
  <si>
    <t>Leie transportmidler</t>
  </si>
  <si>
    <t>Kostnadsført kontorutstyr</t>
  </si>
  <si>
    <t>Kostnadsført inventar</t>
  </si>
  <si>
    <t>Kostnadsført datautstyr</t>
  </si>
  <si>
    <t>Programvareanskaffelse</t>
  </si>
  <si>
    <t>Nytt regnskapssystem, og nye HR systemer</t>
  </si>
  <si>
    <t>Programvare årlig vedl.h.</t>
  </si>
  <si>
    <t>Økte kostnader knyttet til byttet leverandør av IT-systemer</t>
  </si>
  <si>
    <t>Internett</t>
  </si>
  <si>
    <t>Vedlikehold/flytting</t>
  </si>
  <si>
    <t>Inkluderer kostnad flytteprosjektleder</t>
  </si>
  <si>
    <t>Service kontormaskiner</t>
  </si>
  <si>
    <t>Revisjonshonorar</t>
  </si>
  <si>
    <t>Regnskapshonorar</t>
  </si>
  <si>
    <t>Juridisk bistand</t>
  </si>
  <si>
    <t>Kontorrekvisita</t>
  </si>
  <si>
    <t>Bøker/abonnement</t>
  </si>
  <si>
    <t>Avis</t>
  </si>
  <si>
    <t>Gått over til digitalt</t>
  </si>
  <si>
    <t>Telefon</t>
  </si>
  <si>
    <t>Porto</t>
  </si>
  <si>
    <t>Drosje, taxi</t>
  </si>
  <si>
    <t>Annonser</t>
  </si>
  <si>
    <t>Annonse for framleige av kontorlokale i Kolstadgata 1</t>
  </si>
  <si>
    <t>Kontingenter</t>
  </si>
  <si>
    <t>Forsikringer (næringslivsforsikring)</t>
  </si>
  <si>
    <t>Økte kostnader med nytt kontor</t>
  </si>
  <si>
    <t>Diverse utgifter</t>
  </si>
  <si>
    <t>OD-elever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</si>
</sst>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&quot;kr&quot;\ #,##0.00;[Red]\-&quot;kr&quot;\ #,##0.00"/>
    <numFmt numFmtId="43" formatCode="_-* #,##0.00_-;\-* #,##0.00_-;_-* &quot;-&quot;??_-;_-@_-"/>
    <numFmt numFmtId="164" formatCode="_ * #,##0.00_ ;_ * \-#,##0.00_ ;_ * &quot;-&quot;??_ ;_ @_ "/>
    <numFmt numFmtId="165" formatCode="_-* #,##0.00&quot; kr&quot;_-;\-* #,##0.00&quot; kr&quot;_-;_-* &quot;-&quot;??&quot; kr&quot;_-;_-@_-"/>
    <numFmt numFmtId="166" formatCode="_-* #,##0.00_ _k_r_-;\-* #,##0.00_ _k_r_-;_-* &quot;-&quot;??_ _k_r_-;_-@_-"/>
    <numFmt numFmtId="167" formatCode="0_ ;[Red]\-0\ "/>
    <numFmt numFmtId="168" formatCode="#,##0_ ;[Red]\-#,##0\ "/>
    <numFmt numFmtId="169" formatCode="_-* #,##0_-;\-* #,##0_-;_-* &quot;-&quot;??_-;_-@_-"/>
    <numFmt numFmtId="170" formatCode="_-* #,##0&quot; kr&quot;_-;\-* #,##0&quot; kr&quot;_-;_-* &quot;-&quot;??&quot; kr&quot;_-;_-@_-"/>
    <numFmt numFmtId="171" formatCode="_ * #,##0_ ;_ * \-#,##0_ ;_ * \-??_ ;_ @_ "/>
    <numFmt numFmtId="172" formatCode="0.00000000000"/>
    <numFmt numFmtId="173" formatCode="0.000"/>
    <numFmt numFmtId="174" formatCode="#,##0.0000"/>
  </numFmts>
  <fonts count="50">
    <font>
      <sz val="9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Geneva"/>
    </font>
    <font>
      <sz val="8"/>
      <name val="Geneva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9"/>
      <color theme="10"/>
      <name val="Geneva"/>
    </font>
    <font>
      <u/>
      <sz val="9"/>
      <color theme="11"/>
      <name val="Geneva"/>
    </font>
    <font>
      <sz val="12"/>
      <color theme="1"/>
      <name val="Calibri"/>
      <family val="2"/>
      <scheme val="minor"/>
    </font>
    <font>
      <b/>
      <sz val="14"/>
      <name val="Trebuchet MS"/>
      <family val="2"/>
    </font>
    <font>
      <sz val="9"/>
      <name val="Trebuchet MS"/>
      <family val="2"/>
    </font>
    <font>
      <i/>
      <sz val="10"/>
      <name val="Trebuchet MS"/>
      <family val="2"/>
    </font>
    <font>
      <i/>
      <sz val="11"/>
      <name val="Trebuchet MS"/>
      <family val="2"/>
    </font>
    <font>
      <sz val="12"/>
      <color theme="1"/>
      <name val="Trebuchet MS"/>
      <family val="2"/>
    </font>
    <font>
      <b/>
      <sz val="11"/>
      <name val="Trebuchet MS"/>
      <family val="2"/>
    </font>
    <font>
      <sz val="9"/>
      <color theme="1"/>
      <name val="Trebuchet MS"/>
      <family val="2"/>
    </font>
    <font>
      <sz val="11"/>
      <name val="Trebuchet MS"/>
      <family val="2"/>
    </font>
    <font>
      <sz val="11"/>
      <color theme="1"/>
      <name val="Trebuchet MS"/>
      <family val="2"/>
    </font>
    <font>
      <i/>
      <sz val="9"/>
      <name val="Trebuchet MS"/>
      <family val="2"/>
    </font>
    <font>
      <b/>
      <sz val="10"/>
      <name val="Trebuchet MS"/>
      <family val="2"/>
    </font>
    <font>
      <b/>
      <sz val="9"/>
      <name val="Trebuchet MS"/>
      <family val="2"/>
    </font>
    <font>
      <sz val="12"/>
      <color rgb="FFFF0000"/>
      <name val="Trebuchet MS"/>
      <family val="2"/>
    </font>
    <font>
      <sz val="12"/>
      <name val="Trebuchet MS"/>
      <family val="2"/>
    </font>
    <font>
      <sz val="8"/>
      <name val="Trebuchet MS"/>
      <family val="2"/>
    </font>
    <font>
      <b/>
      <sz val="12"/>
      <color theme="1"/>
      <name val="Trebuchet MS"/>
      <family val="2"/>
    </font>
    <font>
      <sz val="10"/>
      <color theme="1"/>
      <name val="Trebuchet MS"/>
      <family val="2"/>
    </font>
    <font>
      <b/>
      <sz val="12"/>
      <name val="Trebuchet MS"/>
      <family val="2"/>
    </font>
    <font>
      <i/>
      <sz val="10"/>
      <color theme="1"/>
      <name val="Trebuchet MS"/>
      <family val="2"/>
    </font>
    <font>
      <b/>
      <sz val="11"/>
      <color theme="1"/>
      <name val="Trebuchet MS"/>
      <family val="2"/>
    </font>
    <font>
      <sz val="10"/>
      <name val="Trebuchet MS"/>
      <family val="2"/>
    </font>
    <font>
      <sz val="11"/>
      <color rgb="FFFF0000"/>
      <name val="Trebuchet MS"/>
      <family val="2"/>
    </font>
    <font>
      <sz val="10"/>
      <color indexed="8"/>
      <name val="Trebuchet MS"/>
      <family val="2"/>
    </font>
    <font>
      <b/>
      <sz val="16"/>
      <name val="Trebuchet MS"/>
      <family val="2"/>
    </font>
    <font>
      <sz val="9"/>
      <color indexed="8"/>
      <name val="Trebuchet MS"/>
      <family val="2"/>
    </font>
    <font>
      <sz val="11"/>
      <color indexed="8"/>
      <name val="Trebuchet MS"/>
      <family val="2"/>
    </font>
    <font>
      <b/>
      <sz val="18"/>
      <name val="Trebuchet MS"/>
      <family val="2"/>
    </font>
    <font>
      <b/>
      <sz val="12"/>
      <color indexed="8"/>
      <name val="Trebuchet MS"/>
      <family val="2"/>
    </font>
    <font>
      <b/>
      <sz val="16"/>
      <color indexed="8"/>
      <name val="Trebuchet MS"/>
      <family val="2"/>
    </font>
    <font>
      <b/>
      <sz val="10"/>
      <color indexed="8"/>
      <name val="Trebuchet MS"/>
      <family val="2"/>
    </font>
    <font>
      <b/>
      <sz val="12"/>
      <color indexed="9"/>
      <name val="Trebuchet MS"/>
      <family val="2"/>
    </font>
    <font>
      <b/>
      <sz val="11"/>
      <color indexed="8"/>
      <name val="Trebuchet MS"/>
      <family val="2"/>
    </font>
    <font>
      <b/>
      <i/>
      <sz val="11"/>
      <name val="Trebuchet MS"/>
      <family val="2"/>
    </font>
    <font>
      <i/>
      <sz val="11"/>
      <color theme="1"/>
      <name val="Trebuchet MS"/>
      <family val="2"/>
    </font>
    <font>
      <b/>
      <sz val="16"/>
      <color theme="1"/>
      <name val="Trebuchet MS"/>
      <family val="2"/>
    </font>
    <font>
      <sz val="10"/>
      <color rgb="FF000000"/>
      <name val="Trebuchet MS"/>
      <family val="2"/>
    </font>
    <font>
      <sz val="11"/>
      <color rgb="FF000000"/>
      <name val="Trebuchet MS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darkUp">
        <fgColor theme="0"/>
        <bgColor theme="6" tint="0.79998168889431442"/>
      </patternFill>
    </fill>
    <fill>
      <patternFill patternType="darkUp">
        <fgColor theme="0"/>
        <bgColor theme="6" tint="0.5999938962981048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darkUp">
        <fgColor theme="0"/>
        <bgColor theme="5" tint="0.79998168889431442"/>
      </patternFill>
    </fill>
    <fill>
      <patternFill patternType="lightUp">
        <fgColor theme="0"/>
        <bgColor theme="6" tint="0.79998168889431442"/>
      </patternFill>
    </fill>
    <fill>
      <patternFill patternType="lightUp">
        <fgColor theme="0"/>
        <bgColor theme="5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darkUp">
        <fgColor theme="0"/>
        <bgColor theme="4" tint="0.79998168889431442"/>
      </patternFill>
    </fill>
    <fill>
      <patternFill patternType="lightUp">
        <fgColor theme="0"/>
        <bgColor theme="2"/>
      </patternFill>
    </fill>
    <fill>
      <patternFill patternType="lightUp">
        <fgColor theme="0"/>
        <bgColor theme="4" tint="0.79995117038483843"/>
      </patternFill>
    </fill>
    <fill>
      <patternFill patternType="darkUp">
        <fgColor theme="0"/>
        <bgColor theme="6" tint="0.79995117038483843"/>
      </patternFill>
    </fill>
    <fill>
      <patternFill patternType="darkUp">
        <fgColor theme="0"/>
        <bgColor theme="2" tint="-9.9978637043366805E-2"/>
      </patternFill>
    </fill>
    <fill>
      <patternFill patternType="lightUp">
        <fgColor theme="0"/>
        <bgColor theme="4" tint="0.79998168889431442"/>
      </patternFill>
    </fill>
    <fill>
      <patternFill patternType="darkUp">
        <fgColor theme="0"/>
        <bgColor theme="2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7">
    <xf numFmtId="0" fontId="0" fillId="0" borderId="0"/>
    <xf numFmtId="164" fontId="9" fillId="0" borderId="0" applyFont="0" applyFill="0" applyBorder="0" applyAlignment="0" applyProtection="0"/>
    <xf numFmtId="0" fontId="9" fillId="0" borderId="0"/>
    <xf numFmtId="0" fontId="8" fillId="0" borderId="0"/>
    <xf numFmtId="9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8" fillId="0" borderId="0"/>
    <xf numFmtId="0" fontId="6" fillId="0" borderId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9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4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/>
    <xf numFmtId="43" fontId="6" fillId="0" borderId="0" applyFont="0" applyFill="0" applyBorder="0" applyAlignment="0" applyProtection="0"/>
  </cellStyleXfs>
  <cellXfs count="394">
    <xf numFmtId="0" fontId="0" fillId="0" borderId="0" xfId="0"/>
    <xf numFmtId="0" fontId="9" fillId="0" borderId="0" xfId="2"/>
    <xf numFmtId="0" fontId="14" fillId="0" borderId="0" xfId="0" applyFont="1"/>
    <xf numFmtId="0" fontId="15" fillId="0" borderId="0" xfId="0" applyFont="1"/>
    <xf numFmtId="0" fontId="21" fillId="0" borderId="0" xfId="2" applyFont="1"/>
    <xf numFmtId="0" fontId="20" fillId="0" borderId="0" xfId="2" applyFont="1"/>
    <xf numFmtId="1" fontId="14" fillId="0" borderId="0" xfId="0" applyNumberFormat="1" applyFont="1"/>
    <xf numFmtId="38" fontId="20" fillId="0" borderId="0" xfId="0" applyNumberFormat="1" applyFont="1"/>
    <xf numFmtId="168" fontId="20" fillId="2" borderId="0" xfId="0" applyNumberFormat="1" applyFont="1" applyFill="1"/>
    <xf numFmtId="0" fontId="25" fillId="0" borderId="0" xfId="19" applyFont="1"/>
    <xf numFmtId="0" fontId="26" fillId="0" borderId="0" xfId="19" applyFont="1"/>
    <xf numFmtId="0" fontId="17" fillId="0" borderId="0" xfId="19" applyFont="1"/>
    <xf numFmtId="3" fontId="17" fillId="0" borderId="0" xfId="19" applyNumberFormat="1" applyFont="1"/>
    <xf numFmtId="0" fontId="27" fillId="0" borderId="0" xfId="7" applyFont="1"/>
    <xf numFmtId="0" fontId="13" fillId="0" borderId="0" xfId="0" applyFont="1"/>
    <xf numFmtId="0" fontId="20" fillId="0" borderId="0" xfId="0" applyFont="1"/>
    <xf numFmtId="38" fontId="21" fillId="0" borderId="0" xfId="2" applyNumberFormat="1" applyFont="1"/>
    <xf numFmtId="0" fontId="20" fillId="2" borderId="0" xfId="0" applyFont="1" applyFill="1"/>
    <xf numFmtId="0" fontId="26" fillId="0" borderId="0" xfId="0" applyFont="1"/>
    <xf numFmtId="38" fontId="14" fillId="0" borderId="0" xfId="0" applyNumberFormat="1" applyFont="1"/>
    <xf numFmtId="9" fontId="14" fillId="0" borderId="0" xfId="0" applyNumberFormat="1" applyFont="1"/>
    <xf numFmtId="1" fontId="20" fillId="0" borderId="0" xfId="0" applyNumberFormat="1" applyFont="1"/>
    <xf numFmtId="0" fontId="16" fillId="0" borderId="0" xfId="0" applyFont="1"/>
    <xf numFmtId="3" fontId="20" fillId="0" borderId="0" xfId="0" applyNumberFormat="1" applyFont="1"/>
    <xf numFmtId="3" fontId="20" fillId="0" borderId="0" xfId="5" applyNumberFormat="1" applyFont="1" applyFill="1" applyBorder="1"/>
    <xf numFmtId="168" fontId="33" fillId="0" borderId="0" xfId="0" applyNumberFormat="1" applyFont="1"/>
    <xf numFmtId="3" fontId="14" fillId="0" borderId="0" xfId="0" applyNumberFormat="1" applyFont="1"/>
    <xf numFmtId="1" fontId="14" fillId="0" borderId="0" xfId="0" quotePrefix="1" applyNumberFormat="1" applyFont="1"/>
    <xf numFmtId="0" fontId="14" fillId="0" borderId="0" xfId="0" quotePrefix="1" applyFont="1"/>
    <xf numFmtId="170" fontId="14" fillId="0" borderId="0" xfId="0" applyNumberFormat="1" applyFont="1"/>
    <xf numFmtId="0" fontId="35" fillId="0" borderId="0" xfId="0" applyFont="1"/>
    <xf numFmtId="170" fontId="14" fillId="0" borderId="0" xfId="5" applyNumberFormat="1" applyFont="1"/>
    <xf numFmtId="0" fontId="33" fillId="0" borderId="0" xfId="0" applyFont="1"/>
    <xf numFmtId="38" fontId="20" fillId="0" borderId="0" xfId="2" applyNumberFormat="1" applyFont="1"/>
    <xf numFmtId="0" fontId="22" fillId="0" borderId="0" xfId="0" applyFont="1"/>
    <xf numFmtId="3" fontId="22" fillId="0" borderId="0" xfId="0" applyNumberFormat="1" applyFont="1"/>
    <xf numFmtId="168" fontId="20" fillId="0" borderId="0" xfId="0" applyNumberFormat="1" applyFont="1"/>
    <xf numFmtId="3" fontId="20" fillId="0" borderId="0" xfId="0" quotePrefix="1" applyNumberFormat="1" applyFont="1"/>
    <xf numFmtId="3" fontId="20" fillId="0" borderId="0" xfId="5" applyNumberFormat="1" applyFont="1" applyFill="1"/>
    <xf numFmtId="0" fontId="37" fillId="0" borderId="0" xfId="0" applyFont="1"/>
    <xf numFmtId="0" fontId="38" fillId="0" borderId="0" xfId="0" applyFont="1"/>
    <xf numFmtId="167" fontId="39" fillId="0" borderId="0" xfId="0" applyNumberFormat="1" applyFont="1" applyAlignment="1">
      <alignment horizontal="left"/>
    </xf>
    <xf numFmtId="0" fontId="40" fillId="0" borderId="0" xfId="0" applyFont="1"/>
    <xf numFmtId="167" fontId="23" fillId="0" borderId="0" xfId="0" applyNumberFormat="1" applyFont="1" applyAlignment="1">
      <alignment horizontal="left"/>
    </xf>
    <xf numFmtId="0" fontId="41" fillId="2" borderId="0" xfId="0" applyFont="1" applyFill="1"/>
    <xf numFmtId="0" fontId="42" fillId="0" borderId="0" xfId="0" applyFont="1"/>
    <xf numFmtId="168" fontId="43" fillId="0" borderId="0" xfId="0" applyNumberFormat="1" applyFont="1" applyAlignment="1">
      <alignment vertical="center"/>
    </xf>
    <xf numFmtId="167" fontId="20" fillId="0" borderId="0" xfId="0" applyNumberFormat="1" applyFont="1" applyAlignment="1">
      <alignment horizontal="right"/>
    </xf>
    <xf numFmtId="49" fontId="20" fillId="0" borderId="0" xfId="0" applyNumberFormat="1" applyFont="1"/>
    <xf numFmtId="168" fontId="20" fillId="0" borderId="0" xfId="0" applyNumberFormat="1" applyFont="1" applyAlignment="1">
      <alignment horizontal="right" vertical="center"/>
    </xf>
    <xf numFmtId="168" fontId="20" fillId="0" borderId="0" xfId="0" applyNumberFormat="1" applyFont="1" applyAlignment="1">
      <alignment horizontal="left"/>
    </xf>
    <xf numFmtId="14" fontId="44" fillId="0" borderId="0" xfId="0" applyNumberFormat="1" applyFont="1" applyAlignment="1">
      <alignment horizontal="left" vertical="center"/>
    </xf>
    <xf numFmtId="168" fontId="40" fillId="0" borderId="4" xfId="0" applyNumberFormat="1" applyFont="1" applyBorder="1" applyAlignment="1">
      <alignment horizontal="left" vertical="center"/>
    </xf>
    <xf numFmtId="168" fontId="40" fillId="0" borderId="4" xfId="5" applyNumberFormat="1" applyFont="1" applyFill="1" applyBorder="1" applyAlignment="1" applyProtection="1">
      <alignment horizontal="right" vertical="center"/>
    </xf>
    <xf numFmtId="168" fontId="42" fillId="0" borderId="0" xfId="0" applyNumberFormat="1" applyFont="1" applyAlignment="1">
      <alignment horizontal="left" vertical="center"/>
    </xf>
    <xf numFmtId="168" fontId="35" fillId="0" borderId="0" xfId="5" applyNumberFormat="1" applyFont="1" applyFill="1" applyBorder="1" applyAlignment="1" applyProtection="1">
      <alignment horizontal="right" vertical="center"/>
    </xf>
    <xf numFmtId="0" fontId="44" fillId="2" borderId="0" xfId="0" applyFont="1" applyFill="1"/>
    <xf numFmtId="168" fontId="20" fillId="2" borderId="0" xfId="0" applyNumberFormat="1" applyFont="1" applyFill="1" applyAlignment="1">
      <alignment horizontal="right" vertical="center"/>
    </xf>
    <xf numFmtId="38" fontId="38" fillId="0" borderId="0" xfId="0" applyNumberFormat="1" applyFont="1"/>
    <xf numFmtId="168" fontId="30" fillId="0" borderId="4" xfId="0" applyNumberFormat="1" applyFont="1" applyBorder="1"/>
    <xf numFmtId="168" fontId="30" fillId="0" borderId="4" xfId="0" applyNumberFormat="1" applyFont="1" applyBorder="1" applyAlignment="1">
      <alignment horizontal="right" vertical="center"/>
    </xf>
    <xf numFmtId="0" fontId="41" fillId="0" borderId="0" xfId="0" applyFont="1"/>
    <xf numFmtId="168" fontId="36" fillId="0" borderId="0" xfId="0" applyNumberFormat="1" applyFont="1" applyAlignment="1">
      <alignment horizontal="right" vertical="center"/>
    </xf>
    <xf numFmtId="168" fontId="44" fillId="0" borderId="0" xfId="0" applyNumberFormat="1" applyFont="1" applyAlignment="1">
      <alignment horizontal="left" vertical="center"/>
    </xf>
    <xf numFmtId="168" fontId="44" fillId="0" borderId="0" xfId="5" applyNumberFormat="1" applyFont="1" applyFill="1" applyBorder="1" applyAlignment="1" applyProtection="1">
      <alignment horizontal="right" vertical="center"/>
    </xf>
    <xf numFmtId="3" fontId="42" fillId="0" borderId="0" xfId="0" applyNumberFormat="1" applyFont="1"/>
    <xf numFmtId="168" fontId="38" fillId="0" borderId="0" xfId="0" applyNumberFormat="1" applyFont="1" applyAlignment="1">
      <alignment horizontal="left" vertical="center"/>
    </xf>
    <xf numFmtId="0" fontId="18" fillId="0" borderId="0" xfId="0" applyFont="1"/>
    <xf numFmtId="3" fontId="18" fillId="0" borderId="0" xfId="5" applyNumberFormat="1" applyFont="1" applyFill="1" applyBorder="1"/>
    <xf numFmtId="3" fontId="34" fillId="0" borderId="0" xfId="0" applyNumberFormat="1" applyFont="1"/>
    <xf numFmtId="3" fontId="18" fillId="0" borderId="0" xfId="0" applyNumberFormat="1" applyFont="1"/>
    <xf numFmtId="0" fontId="20" fillId="0" borderId="0" xfId="0" applyFont="1" applyAlignment="1">
      <alignment horizontal="right"/>
    </xf>
    <xf numFmtId="0" fontId="45" fillId="0" borderId="0" xfId="0" applyFont="1"/>
    <xf numFmtId="0" fontId="20" fillId="2" borderId="0" xfId="0" applyFont="1" applyFill="1" applyAlignment="1">
      <alignment horizontal="right"/>
    </xf>
    <xf numFmtId="0" fontId="45" fillId="0" borderId="0" xfId="0" applyFont="1" applyAlignment="1">
      <alignment horizontal="left" vertical="top"/>
    </xf>
    <xf numFmtId="0" fontId="18" fillId="3" borderId="4" xfId="0" applyFont="1" applyFill="1" applyBorder="1"/>
    <xf numFmtId="3" fontId="18" fillId="3" borderId="4" xfId="5" applyNumberFormat="1" applyFont="1" applyFill="1" applyBorder="1"/>
    <xf numFmtId="0" fontId="19" fillId="0" borderId="0" xfId="2" applyFont="1"/>
    <xf numFmtId="0" fontId="29" fillId="0" borderId="0" xfId="19" applyFont="1" applyAlignment="1">
      <alignment horizontal="left"/>
    </xf>
    <xf numFmtId="168" fontId="20" fillId="0" borderId="0" xfId="0" applyNumberFormat="1" applyFont="1" applyAlignment="1">
      <alignment horizontal="right"/>
    </xf>
    <xf numFmtId="49" fontId="20" fillId="0" borderId="0" xfId="0" applyNumberFormat="1" applyFont="1" applyAlignment="1">
      <alignment horizontal="right"/>
    </xf>
    <xf numFmtId="2" fontId="17" fillId="0" borderId="0" xfId="19" applyNumberFormat="1" applyFont="1"/>
    <xf numFmtId="0" fontId="26" fillId="0" borderId="0" xfId="7" applyFont="1"/>
    <xf numFmtId="173" fontId="14" fillId="0" borderId="0" xfId="0" applyNumberFormat="1" applyFont="1"/>
    <xf numFmtId="2" fontId="14" fillId="0" borderId="0" xfId="0" applyNumberFormat="1" applyFont="1"/>
    <xf numFmtId="172" fontId="14" fillId="0" borderId="0" xfId="0" applyNumberFormat="1" applyFont="1"/>
    <xf numFmtId="167" fontId="20" fillId="0" borderId="0" xfId="2" applyNumberFormat="1" applyFont="1" applyAlignment="1">
      <alignment horizontal="right"/>
    </xf>
    <xf numFmtId="0" fontId="20" fillId="0" borderId="0" xfId="2" applyFont="1" applyAlignment="1">
      <alignment horizontal="left"/>
    </xf>
    <xf numFmtId="0" fontId="33" fillId="0" borderId="0" xfId="7" applyFont="1"/>
    <xf numFmtId="0" fontId="20" fillId="0" borderId="0" xfId="7" applyFont="1"/>
    <xf numFmtId="3" fontId="20" fillId="0" borderId="0" xfId="7" applyNumberFormat="1" applyFont="1"/>
    <xf numFmtId="0" fontId="36" fillId="0" borderId="0" xfId="0" applyFont="1"/>
    <xf numFmtId="3" fontId="18" fillId="0" borderId="0" xfId="5" applyNumberFormat="1" applyFont="1" applyFill="1"/>
    <xf numFmtId="49" fontId="18" fillId="0" borderId="0" xfId="0" applyNumberFormat="1" applyFont="1"/>
    <xf numFmtId="0" fontId="16" fillId="0" borderId="0" xfId="0" applyFont="1" applyAlignment="1">
      <alignment horizontal="left" vertical="top"/>
    </xf>
    <xf numFmtId="0" fontId="16" fillId="0" borderId="0" xfId="0" applyFont="1" applyAlignment="1">
      <alignment horizontal="right" wrapText="1"/>
    </xf>
    <xf numFmtId="0" fontId="18" fillId="0" borderId="4" xfId="0" applyFont="1" applyBorder="1"/>
    <xf numFmtId="3" fontId="18" fillId="0" borderId="4" xfId="5" applyNumberFormat="1" applyFont="1" applyFill="1" applyBorder="1"/>
    <xf numFmtId="16" fontId="20" fillId="0" borderId="0" xfId="0" applyNumberFormat="1" applyFont="1"/>
    <xf numFmtId="3" fontId="18" fillId="0" borderId="4" xfId="0" applyNumberFormat="1" applyFont="1" applyBorder="1"/>
    <xf numFmtId="0" fontId="18" fillId="9" borderId="4" xfId="0" applyFont="1" applyFill="1" applyBorder="1"/>
    <xf numFmtId="3" fontId="18" fillId="9" borderId="4" xfId="5" applyNumberFormat="1" applyFont="1" applyFill="1" applyBorder="1"/>
    <xf numFmtId="0" fontId="20" fillId="10" borderId="0" xfId="0" applyFont="1" applyFill="1"/>
    <xf numFmtId="0" fontId="20" fillId="11" borderId="0" xfId="0" applyFont="1" applyFill="1"/>
    <xf numFmtId="3" fontId="20" fillId="11" borderId="0" xfId="5" applyNumberFormat="1" applyFont="1" applyFill="1"/>
    <xf numFmtId="0" fontId="20" fillId="15" borderId="0" xfId="0" applyFont="1" applyFill="1"/>
    <xf numFmtId="0" fontId="20" fillId="17" borderId="0" xfId="0" applyFont="1" applyFill="1"/>
    <xf numFmtId="3" fontId="20" fillId="17" borderId="0" xfId="0" applyNumberFormat="1" applyFont="1" applyFill="1"/>
    <xf numFmtId="0" fontId="20" fillId="0" borderId="0" xfId="0" applyFont="1" applyAlignment="1">
      <alignment vertical="top"/>
    </xf>
    <xf numFmtId="0" fontId="20" fillId="0" borderId="0" xfId="0" applyFont="1" applyAlignment="1">
      <alignment horizontal="left" vertical="top"/>
    </xf>
    <xf numFmtId="3" fontId="20" fillId="10" borderId="0" xfId="5" applyNumberFormat="1" applyFont="1" applyFill="1" applyBorder="1"/>
    <xf numFmtId="0" fontId="33" fillId="2" borderId="0" xfId="0" applyFont="1" applyFill="1" applyAlignment="1">
      <alignment horizontal="right"/>
    </xf>
    <xf numFmtId="38" fontId="18" fillId="0" borderId="0" xfId="0" applyNumberFormat="1" applyFont="1"/>
    <xf numFmtId="0" fontId="20" fillId="0" borderId="0" xfId="2" applyFont="1" applyAlignment="1">
      <alignment horizontal="right"/>
    </xf>
    <xf numFmtId="0" fontId="21" fillId="0" borderId="0" xfId="19" applyFont="1"/>
    <xf numFmtId="38" fontId="32" fillId="0" borderId="0" xfId="2" applyNumberFormat="1" applyFont="1"/>
    <xf numFmtId="3" fontId="20" fillId="15" borderId="0" xfId="5" applyNumberFormat="1" applyFont="1" applyFill="1" applyBorder="1"/>
    <xf numFmtId="0" fontId="20" fillId="19" borderId="0" xfId="0" applyFont="1" applyFill="1"/>
    <xf numFmtId="3" fontId="20" fillId="19" borderId="0" xfId="5" applyNumberFormat="1" applyFont="1" applyFill="1" applyBorder="1"/>
    <xf numFmtId="0" fontId="20" fillId="20" borderId="0" xfId="0" applyFont="1" applyFill="1"/>
    <xf numFmtId="38" fontId="20" fillId="20" borderId="0" xfId="2" applyNumberFormat="1" applyFont="1" applyFill="1"/>
    <xf numFmtId="38" fontId="21" fillId="20" borderId="0" xfId="2" applyNumberFormat="1" applyFont="1" applyFill="1"/>
    <xf numFmtId="3" fontId="20" fillId="20" borderId="0" xfId="0" applyNumberFormat="1" applyFont="1" applyFill="1"/>
    <xf numFmtId="0" fontId="47" fillId="0" borderId="0" xfId="19" applyFont="1"/>
    <xf numFmtId="3" fontId="21" fillId="0" borderId="0" xfId="19" applyNumberFormat="1" applyFont="1"/>
    <xf numFmtId="3" fontId="46" fillId="0" borderId="0" xfId="19" applyNumberFormat="1" applyFont="1"/>
    <xf numFmtId="169" fontId="21" fillId="0" borderId="0" xfId="24" applyNumberFormat="1" applyFont="1" applyFill="1"/>
    <xf numFmtId="37" fontId="21" fillId="0" borderId="0" xfId="24" applyNumberFormat="1" applyFont="1" applyFill="1"/>
    <xf numFmtId="2" fontId="21" fillId="5" borderId="0" xfId="19" applyNumberFormat="1" applyFont="1" applyFill="1"/>
    <xf numFmtId="0" fontId="21" fillId="5" borderId="3" xfId="19" applyFont="1" applyFill="1" applyBorder="1"/>
    <xf numFmtId="9" fontId="20" fillId="0" borderId="0" xfId="16" applyFont="1" applyFill="1"/>
    <xf numFmtId="0" fontId="21" fillId="16" borderId="0" xfId="19" applyFont="1" applyFill="1"/>
    <xf numFmtId="37" fontId="21" fillId="16" borderId="0" xfId="19" applyNumberFormat="1" applyFont="1" applyFill="1"/>
    <xf numFmtId="169" fontId="21" fillId="0" borderId="0" xfId="19" applyNumberFormat="1" applyFont="1"/>
    <xf numFmtId="0" fontId="32" fillId="5" borderId="5" xfId="19" applyFont="1" applyFill="1" applyBorder="1"/>
    <xf numFmtId="2" fontId="32" fillId="5" borderId="1" xfId="19" applyNumberFormat="1" applyFont="1" applyFill="1" applyBorder="1"/>
    <xf numFmtId="174" fontId="21" fillId="0" borderId="0" xfId="19" applyNumberFormat="1" applyFont="1"/>
    <xf numFmtId="3" fontId="20" fillId="0" borderId="0" xfId="19" applyNumberFormat="1" applyFont="1"/>
    <xf numFmtId="2" fontId="21" fillId="7" borderId="0" xfId="19" applyNumberFormat="1" applyFont="1" applyFill="1"/>
    <xf numFmtId="9" fontId="21" fillId="0" borderId="0" xfId="16" applyFont="1" applyFill="1" applyAlignment="1"/>
    <xf numFmtId="0" fontId="21" fillId="7" borderId="3" xfId="19" applyFont="1" applyFill="1" applyBorder="1"/>
    <xf numFmtId="9" fontId="21" fillId="0" borderId="0" xfId="16" applyFont="1" applyFill="1"/>
    <xf numFmtId="0" fontId="21" fillId="17" borderId="0" xfId="19" applyFont="1" applyFill="1"/>
    <xf numFmtId="0" fontId="32" fillId="7" borderId="5" xfId="19" applyFont="1" applyFill="1" applyBorder="1"/>
    <xf numFmtId="2" fontId="32" fillId="7" borderId="1" xfId="19" applyNumberFormat="1" applyFont="1" applyFill="1" applyBorder="1"/>
    <xf numFmtId="0" fontId="46" fillId="0" borderId="0" xfId="19" applyFont="1" applyAlignment="1">
      <alignment horizontal="right"/>
    </xf>
    <xf numFmtId="2" fontId="21" fillId="6" borderId="0" xfId="19" applyNumberFormat="1" applyFont="1" applyFill="1"/>
    <xf numFmtId="4" fontId="21" fillId="0" borderId="0" xfId="19" applyNumberFormat="1" applyFont="1"/>
    <xf numFmtId="0" fontId="21" fillId="6" borderId="3" xfId="19" applyFont="1" applyFill="1" applyBorder="1"/>
    <xf numFmtId="169" fontId="46" fillId="0" borderId="0" xfId="19" applyNumberFormat="1" applyFont="1"/>
    <xf numFmtId="0" fontId="32" fillId="6" borderId="5" xfId="19" applyFont="1" applyFill="1" applyBorder="1"/>
    <xf numFmtId="2" fontId="32" fillId="6" borderId="1" xfId="19" applyNumberFormat="1" applyFont="1" applyFill="1" applyBorder="1"/>
    <xf numFmtId="0" fontId="21" fillId="9" borderId="3" xfId="19" applyFont="1" applyFill="1" applyBorder="1"/>
    <xf numFmtId="2" fontId="21" fillId="9" borderId="0" xfId="19" applyNumberFormat="1" applyFont="1" applyFill="1"/>
    <xf numFmtId="0" fontId="32" fillId="9" borderId="5" xfId="19" applyFont="1" applyFill="1" applyBorder="1"/>
    <xf numFmtId="2" fontId="32" fillId="9" borderId="1" xfId="19" applyNumberFormat="1" applyFont="1" applyFill="1" applyBorder="1"/>
    <xf numFmtId="4" fontId="32" fillId="9" borderId="1" xfId="19" applyNumberFormat="1" applyFont="1" applyFill="1" applyBorder="1"/>
    <xf numFmtId="0" fontId="18" fillId="0" borderId="4" xfId="7" applyFont="1" applyBorder="1"/>
    <xf numFmtId="171" fontId="18" fillId="0" borderId="4" xfId="7" applyNumberFormat="1" applyFont="1" applyBorder="1"/>
    <xf numFmtId="0" fontId="18" fillId="0" borderId="0" xfId="7" quotePrefix="1" applyFont="1"/>
    <xf numFmtId="0" fontId="21" fillId="21" borderId="0" xfId="19" applyFont="1" applyFill="1"/>
    <xf numFmtId="0" fontId="21" fillId="20" borderId="0" xfId="19" applyFont="1" applyFill="1"/>
    <xf numFmtId="0" fontId="20" fillId="22" borderId="0" xfId="0" applyFont="1" applyFill="1"/>
    <xf numFmtId="3" fontId="20" fillId="22" borderId="0" xfId="0" applyNumberFormat="1" applyFont="1" applyFill="1"/>
    <xf numFmtId="3" fontId="20" fillId="19" borderId="0" xfId="0" applyNumberFormat="1" applyFont="1" applyFill="1"/>
    <xf numFmtId="49" fontId="20" fillId="7" borderId="0" xfId="0" applyNumberFormat="1" applyFont="1" applyFill="1"/>
    <xf numFmtId="168" fontId="20" fillId="7" borderId="0" xfId="0" applyNumberFormat="1" applyFont="1" applyFill="1"/>
    <xf numFmtId="168" fontId="20" fillId="7" borderId="0" xfId="0" applyNumberFormat="1" applyFont="1" applyFill="1" applyAlignment="1">
      <alignment horizontal="right" vertical="center"/>
    </xf>
    <xf numFmtId="49" fontId="20" fillId="6" borderId="0" xfId="0" applyNumberFormat="1" applyFont="1" applyFill="1"/>
    <xf numFmtId="168" fontId="20" fillId="6" borderId="0" xfId="0" applyNumberFormat="1" applyFont="1" applyFill="1"/>
    <xf numFmtId="168" fontId="20" fillId="6" borderId="0" xfId="0" applyNumberFormat="1" applyFont="1" applyFill="1" applyAlignment="1">
      <alignment horizontal="right" vertical="center"/>
    </xf>
    <xf numFmtId="49" fontId="20" fillId="5" borderId="0" xfId="0" applyNumberFormat="1" applyFont="1" applyFill="1"/>
    <xf numFmtId="168" fontId="20" fillId="5" borderId="0" xfId="0" applyNumberFormat="1" applyFont="1" applyFill="1"/>
    <xf numFmtId="168" fontId="20" fillId="5" borderId="0" xfId="0" applyNumberFormat="1" applyFont="1" applyFill="1" applyAlignment="1">
      <alignment horizontal="right" vertical="center"/>
    </xf>
    <xf numFmtId="9" fontId="21" fillId="6" borderId="6" xfId="16" applyFont="1" applyFill="1" applyBorder="1"/>
    <xf numFmtId="9" fontId="29" fillId="5" borderId="2" xfId="16" applyFont="1" applyFill="1" applyBorder="1"/>
    <xf numFmtId="9" fontId="21" fillId="9" borderId="6" xfId="16" applyFont="1" applyFill="1" applyBorder="1"/>
    <xf numFmtId="9" fontId="29" fillId="5" borderId="6" xfId="16" applyFont="1" applyFill="1" applyBorder="1"/>
    <xf numFmtId="173" fontId="17" fillId="0" borderId="0" xfId="19" applyNumberFormat="1" applyFont="1"/>
    <xf numFmtId="9" fontId="29" fillId="7" borderId="2" xfId="16" applyFont="1" applyFill="1" applyBorder="1"/>
    <xf numFmtId="9" fontId="29" fillId="7" borderId="6" xfId="16" applyFont="1" applyFill="1" applyBorder="1"/>
    <xf numFmtId="9" fontId="29" fillId="6" borderId="2" xfId="16" applyFont="1" applyFill="1" applyBorder="1"/>
    <xf numFmtId="2" fontId="14" fillId="0" borderId="0" xfId="16" applyNumberFormat="1" applyFont="1" applyFill="1"/>
    <xf numFmtId="0" fontId="17" fillId="0" borderId="0" xfId="19" quotePrefix="1" applyFont="1"/>
    <xf numFmtId="9" fontId="29" fillId="9" borderId="2" xfId="16" applyFont="1" applyFill="1" applyBorder="1"/>
    <xf numFmtId="4" fontId="29" fillId="0" borderId="0" xfId="19" applyNumberFormat="1" applyFont="1"/>
    <xf numFmtId="2" fontId="29" fillId="0" borderId="0" xfId="19" applyNumberFormat="1" applyFont="1"/>
    <xf numFmtId="3" fontId="29" fillId="0" borderId="0" xfId="19" applyNumberFormat="1" applyFont="1"/>
    <xf numFmtId="0" fontId="29" fillId="0" borderId="0" xfId="19" applyFont="1" applyAlignment="1">
      <alignment horizontal="right"/>
    </xf>
    <xf numFmtId="2" fontId="21" fillId="0" borderId="4" xfId="19" applyNumberFormat="1" applyFont="1" applyBorder="1"/>
    <xf numFmtId="4" fontId="32" fillId="0" borderId="4" xfId="19" applyNumberFormat="1" applyFont="1" applyBorder="1"/>
    <xf numFmtId="0" fontId="32" fillId="0" borderId="4" xfId="19" applyFont="1" applyBorder="1" applyAlignment="1">
      <alignment horizontal="right"/>
    </xf>
    <xf numFmtId="0" fontId="31" fillId="0" borderId="0" xfId="19" applyFont="1"/>
    <xf numFmtId="0" fontId="29" fillId="0" borderId="0" xfId="19" applyFont="1"/>
    <xf numFmtId="169" fontId="29" fillId="0" borderId="0" xfId="19" applyNumberFormat="1" applyFont="1"/>
    <xf numFmtId="170" fontId="33" fillId="0" borderId="0" xfId="5" applyNumberFormat="1" applyFont="1" applyFill="1"/>
    <xf numFmtId="49" fontId="20" fillId="9" borderId="0" xfId="0" applyNumberFormat="1" applyFont="1" applyFill="1"/>
    <xf numFmtId="168" fontId="20" fillId="9" borderId="0" xfId="0" applyNumberFormat="1" applyFont="1" applyFill="1"/>
    <xf numFmtId="168" fontId="20" fillId="9" borderId="0" xfId="0" applyNumberFormat="1" applyFont="1" applyFill="1" applyAlignment="1">
      <alignment horizontal="right" vertical="center"/>
    </xf>
    <xf numFmtId="171" fontId="29" fillId="0" borderId="0" xfId="19" applyNumberFormat="1" applyFont="1"/>
    <xf numFmtId="0" fontId="15" fillId="0" borderId="0" xfId="7" applyFont="1"/>
    <xf numFmtId="3" fontId="33" fillId="0" borderId="0" xfId="7" applyNumberFormat="1" applyFont="1"/>
    <xf numFmtId="3" fontId="20" fillId="8" borderId="0" xfId="5" applyNumberFormat="1" applyFont="1" applyFill="1" applyBorder="1"/>
    <xf numFmtId="0" fontId="20" fillId="23" borderId="0" xfId="0" applyFont="1" applyFill="1"/>
    <xf numFmtId="3" fontId="20" fillId="23" borderId="0" xfId="0" applyNumberFormat="1" applyFont="1" applyFill="1"/>
    <xf numFmtId="174" fontId="32" fillId="0" borderId="0" xfId="19" applyNumberFormat="1" applyFont="1"/>
    <xf numFmtId="9" fontId="17" fillId="0" borderId="0" xfId="16" applyFont="1"/>
    <xf numFmtId="3" fontId="26" fillId="0" borderId="0" xfId="19" applyNumberFormat="1" applyFont="1"/>
    <xf numFmtId="0" fontId="20" fillId="8" borderId="3" xfId="0" applyFont="1" applyFill="1" applyBorder="1"/>
    <xf numFmtId="0" fontId="20" fillId="8" borderId="0" xfId="0" applyFont="1" applyFill="1"/>
    <xf numFmtId="0" fontId="14" fillId="8" borderId="5" xfId="0" applyFont="1" applyFill="1" applyBorder="1"/>
    <xf numFmtId="0" fontId="14" fillId="8" borderId="1" xfId="0" applyFont="1" applyFill="1" applyBorder="1"/>
    <xf numFmtId="3" fontId="18" fillId="8" borderId="1" xfId="0" applyNumberFormat="1" applyFont="1" applyFill="1" applyBorder="1"/>
    <xf numFmtId="3" fontId="18" fillId="8" borderId="6" xfId="0" applyNumberFormat="1" applyFont="1" applyFill="1" applyBorder="1"/>
    <xf numFmtId="171" fontId="17" fillId="0" borderId="0" xfId="19" applyNumberFormat="1" applyFont="1"/>
    <xf numFmtId="0" fontId="14" fillId="0" borderId="0" xfId="0" applyFont="1" applyAlignment="1">
      <alignment horizontal="right"/>
    </xf>
    <xf numFmtId="37" fontId="21" fillId="20" borderId="0" xfId="19" applyNumberFormat="1" applyFont="1" applyFill="1"/>
    <xf numFmtId="37" fontId="21" fillId="24" borderId="0" xfId="19" applyNumberFormat="1" applyFont="1" applyFill="1"/>
    <xf numFmtId="37" fontId="21" fillId="17" borderId="0" xfId="19" applyNumberFormat="1" applyFont="1" applyFill="1"/>
    <xf numFmtId="0" fontId="14" fillId="0" borderId="0" xfId="0" applyFont="1" applyAlignment="1">
      <alignment wrapText="1"/>
    </xf>
    <xf numFmtId="0" fontId="33" fillId="0" borderId="0" xfId="7" applyFont="1" applyAlignment="1">
      <alignment horizontal="right"/>
    </xf>
    <xf numFmtId="37" fontId="29" fillId="0" borderId="0" xfId="19" applyNumberFormat="1" applyFont="1"/>
    <xf numFmtId="3" fontId="34" fillId="0" borderId="0" xfId="5" applyNumberFormat="1" applyFont="1" applyFill="1" applyBorder="1"/>
    <xf numFmtId="16" fontId="20" fillId="3" borderId="7" xfId="0" applyNumberFormat="1" applyFont="1" applyFill="1" applyBorder="1"/>
    <xf numFmtId="0" fontId="20" fillId="3" borderId="7" xfId="0" applyFont="1" applyFill="1" applyBorder="1"/>
    <xf numFmtId="0" fontId="18" fillId="3" borderId="7" xfId="0" applyFont="1" applyFill="1" applyBorder="1"/>
    <xf numFmtId="0" fontId="45" fillId="0" borderId="0" xfId="0" applyFont="1" applyAlignment="1">
      <alignment horizontal="center"/>
    </xf>
    <xf numFmtId="3" fontId="20" fillId="0" borderId="0" xfId="0" applyNumberFormat="1" applyFont="1" applyAlignment="1">
      <alignment horizontal="center" wrapText="1"/>
    </xf>
    <xf numFmtId="0" fontId="20" fillId="0" borderId="0" xfId="0" applyFont="1" applyAlignment="1">
      <alignment horizontal="center"/>
    </xf>
    <xf numFmtId="0" fontId="33" fillId="0" borderId="0" xfId="0" applyFont="1" applyAlignment="1">
      <alignment horizontal="right"/>
    </xf>
    <xf numFmtId="9" fontId="14" fillId="0" borderId="0" xfId="16" applyFont="1"/>
    <xf numFmtId="8" fontId="14" fillId="0" borderId="0" xfId="0" applyNumberFormat="1" applyFont="1"/>
    <xf numFmtId="0" fontId="20" fillId="25" borderId="0" xfId="0" applyFont="1" applyFill="1"/>
    <xf numFmtId="3" fontId="20" fillId="25" borderId="0" xfId="5" applyNumberFormat="1" applyFont="1" applyFill="1" applyBorder="1"/>
    <xf numFmtId="37" fontId="17" fillId="0" borderId="0" xfId="19" applyNumberFormat="1" applyFont="1"/>
    <xf numFmtId="0" fontId="2" fillId="0" borderId="0" xfId="2" applyFont="1"/>
    <xf numFmtId="168" fontId="38" fillId="0" borderId="0" xfId="0" applyNumberFormat="1" applyFont="1" applyAlignment="1">
      <alignment vertical="top"/>
    </xf>
    <xf numFmtId="3" fontId="38" fillId="0" borderId="2" xfId="0" applyNumberFormat="1" applyFont="1" applyBorder="1" applyAlignment="1">
      <alignment vertical="top"/>
    </xf>
    <xf numFmtId="168" fontId="38" fillId="0" borderId="0" xfId="0" quotePrefix="1" applyNumberFormat="1" applyFont="1" applyAlignment="1">
      <alignment vertical="top"/>
    </xf>
    <xf numFmtId="3" fontId="21" fillId="0" borderId="0" xfId="5" applyNumberFormat="1" applyFont="1" applyFill="1" applyBorder="1"/>
    <xf numFmtId="3" fontId="38" fillId="0" borderId="0" xfId="0" applyNumberFormat="1" applyFont="1" applyAlignment="1">
      <alignment vertical="center"/>
    </xf>
    <xf numFmtId="168" fontId="18" fillId="3" borderId="9" xfId="0" applyNumberFormat="1" applyFont="1" applyFill="1" applyBorder="1"/>
    <xf numFmtId="168" fontId="18" fillId="14" borderId="9" xfId="0" applyNumberFormat="1" applyFont="1" applyFill="1" applyBorder="1"/>
    <xf numFmtId="168" fontId="20" fillId="14" borderId="9" xfId="0" applyNumberFormat="1" applyFont="1" applyFill="1" applyBorder="1"/>
    <xf numFmtId="168" fontId="18" fillId="14" borderId="9" xfId="0" applyNumberFormat="1" applyFont="1" applyFill="1" applyBorder="1" applyAlignment="1">
      <alignment horizontal="right" vertical="center"/>
    </xf>
    <xf numFmtId="168" fontId="18" fillId="13" borderId="9" xfId="0" applyNumberFormat="1" applyFont="1" applyFill="1" applyBorder="1"/>
    <xf numFmtId="168" fontId="18" fillId="12" borderId="9" xfId="0" applyNumberFormat="1" applyFont="1" applyFill="1" applyBorder="1"/>
    <xf numFmtId="168" fontId="20" fillId="12" borderId="9" xfId="0" applyNumberFormat="1" applyFont="1" applyFill="1" applyBorder="1"/>
    <xf numFmtId="168" fontId="18" fillId="12" borderId="9" xfId="0" applyNumberFormat="1" applyFont="1" applyFill="1" applyBorder="1" applyAlignment="1">
      <alignment horizontal="right" vertical="center"/>
    </xf>
    <xf numFmtId="168" fontId="18" fillId="18" borderId="9" xfId="0" applyNumberFormat="1" applyFont="1" applyFill="1" applyBorder="1"/>
    <xf numFmtId="168" fontId="20" fillId="18" borderId="9" xfId="0" applyNumberFormat="1" applyFont="1" applyFill="1" applyBorder="1"/>
    <xf numFmtId="168" fontId="18" fillId="18" borderId="9" xfId="0" applyNumberFormat="1" applyFont="1" applyFill="1" applyBorder="1" applyAlignment="1">
      <alignment horizontal="right" vertical="center"/>
    </xf>
    <xf numFmtId="14" fontId="44" fillId="0" borderId="9" xfId="0" applyNumberFormat="1" applyFont="1" applyBorder="1" applyAlignment="1">
      <alignment horizontal="center" vertical="top" wrapText="1"/>
    </xf>
    <xf numFmtId="14" fontId="44" fillId="0" borderId="11" xfId="0" applyNumberFormat="1" applyFont="1" applyBorder="1" applyAlignment="1">
      <alignment horizontal="center" vertical="top" wrapText="1"/>
    </xf>
    <xf numFmtId="38" fontId="44" fillId="0" borderId="9" xfId="5" applyNumberFormat="1" applyFont="1" applyFill="1" applyBorder="1" applyAlignment="1" applyProtection="1">
      <alignment horizontal="right" vertical="top"/>
    </xf>
    <xf numFmtId="38" fontId="44" fillId="0" borderId="11" xfId="5" applyNumberFormat="1" applyFont="1" applyFill="1" applyBorder="1" applyAlignment="1" applyProtection="1">
      <alignment horizontal="right" vertical="top"/>
    </xf>
    <xf numFmtId="0" fontId="20" fillId="3" borderId="8" xfId="0" applyFont="1" applyFill="1" applyBorder="1"/>
    <xf numFmtId="0" fontId="18" fillId="3" borderId="8" xfId="0" applyFont="1" applyFill="1" applyBorder="1"/>
    <xf numFmtId="3" fontId="18" fillId="3" borderId="8" xfId="0" applyNumberFormat="1" applyFont="1" applyFill="1" applyBorder="1" applyAlignment="1">
      <alignment horizontal="center"/>
    </xf>
    <xf numFmtId="0" fontId="20" fillId="14" borderId="9" xfId="0" applyFont="1" applyFill="1" applyBorder="1"/>
    <xf numFmtId="0" fontId="20" fillId="13" borderId="9" xfId="0" applyFont="1" applyFill="1" applyBorder="1"/>
    <xf numFmtId="0" fontId="18" fillId="13" borderId="9" xfId="0" applyFont="1" applyFill="1" applyBorder="1"/>
    <xf numFmtId="0" fontId="16" fillId="18" borderId="9" xfId="0" applyFont="1" applyFill="1" applyBorder="1"/>
    <xf numFmtId="1" fontId="28" fillId="14" borderId="9" xfId="19" applyNumberFormat="1" applyFont="1" applyFill="1" applyBorder="1" applyAlignment="1">
      <alignment horizontal="left" vertical="center"/>
    </xf>
    <xf numFmtId="0" fontId="32" fillId="14" borderId="9" xfId="19" applyFont="1" applyFill="1" applyBorder="1"/>
    <xf numFmtId="3" fontId="32" fillId="14" borderId="9" xfId="19" applyNumberFormat="1" applyFont="1" applyFill="1" applyBorder="1"/>
    <xf numFmtId="2" fontId="21" fillId="14" borderId="9" xfId="19" applyNumberFormat="1" applyFont="1" applyFill="1" applyBorder="1"/>
    <xf numFmtId="0" fontId="32" fillId="14" borderId="9" xfId="19" applyFont="1" applyFill="1" applyBorder="1" applyAlignment="1">
      <alignment horizontal="left"/>
    </xf>
    <xf numFmtId="1" fontId="28" fillId="13" borderId="9" xfId="19" applyNumberFormat="1" applyFont="1" applyFill="1" applyBorder="1" applyAlignment="1">
      <alignment horizontal="left" vertical="center"/>
    </xf>
    <xf numFmtId="0" fontId="32" fillId="13" borderId="9" xfId="19" applyFont="1" applyFill="1" applyBorder="1"/>
    <xf numFmtId="3" fontId="32" fillId="13" borderId="9" xfId="19" applyNumberFormat="1" applyFont="1" applyFill="1" applyBorder="1"/>
    <xf numFmtId="0" fontId="21" fillId="13" borderId="9" xfId="19" applyFont="1" applyFill="1" applyBorder="1"/>
    <xf numFmtId="0" fontId="32" fillId="13" borderId="9" xfId="19" applyFont="1" applyFill="1" applyBorder="1" applyAlignment="1">
      <alignment horizontal="left"/>
    </xf>
    <xf numFmtId="1" fontId="28" fillId="12" borderId="9" xfId="19" applyNumberFormat="1" applyFont="1" applyFill="1" applyBorder="1" applyAlignment="1">
      <alignment horizontal="left"/>
    </xf>
    <xf numFmtId="2" fontId="17" fillId="12" borderId="9" xfId="19" applyNumberFormat="1" applyFont="1" applyFill="1" applyBorder="1"/>
    <xf numFmtId="0" fontId="32" fillId="12" borderId="9" xfId="19" applyFont="1" applyFill="1" applyBorder="1"/>
    <xf numFmtId="3" fontId="32" fillId="12" borderId="9" xfId="19" applyNumberFormat="1" applyFont="1" applyFill="1" applyBorder="1"/>
    <xf numFmtId="0" fontId="21" fillId="12" borderId="9" xfId="19" applyFont="1" applyFill="1" applyBorder="1"/>
    <xf numFmtId="1" fontId="28" fillId="18" borderId="9" xfId="19" applyNumberFormat="1" applyFont="1" applyFill="1" applyBorder="1" applyAlignment="1">
      <alignment horizontal="left"/>
    </xf>
    <xf numFmtId="2" fontId="17" fillId="18" borderId="9" xfId="19" applyNumberFormat="1" applyFont="1" applyFill="1" applyBorder="1"/>
    <xf numFmtId="0" fontId="32" fillId="18" borderId="9" xfId="19" applyFont="1" applyFill="1" applyBorder="1"/>
    <xf numFmtId="3" fontId="32" fillId="18" borderId="9" xfId="19" applyNumberFormat="1" applyFont="1" applyFill="1" applyBorder="1"/>
    <xf numFmtId="0" fontId="21" fillId="18" borderId="9" xfId="19" applyFont="1" applyFill="1" applyBorder="1"/>
    <xf numFmtId="1" fontId="17" fillId="4" borderId="9" xfId="19" applyNumberFormat="1" applyFont="1" applyFill="1" applyBorder="1"/>
    <xf numFmtId="0" fontId="18" fillId="4" borderId="9" xfId="0" applyFont="1" applyFill="1" applyBorder="1"/>
    <xf numFmtId="38" fontId="37" fillId="0" borderId="0" xfId="0" applyNumberFormat="1" applyFont="1"/>
    <xf numFmtId="3" fontId="20" fillId="0" borderId="0" xfId="2" applyNumberFormat="1" applyFont="1"/>
    <xf numFmtId="37" fontId="34" fillId="0" borderId="0" xfId="24" applyNumberFormat="1" applyFont="1" applyFill="1"/>
    <xf numFmtId="0" fontId="29" fillId="0" borderId="0" xfId="2" applyFont="1"/>
    <xf numFmtId="9" fontId="48" fillId="5" borderId="2" xfId="16" applyFont="1" applyFill="1" applyBorder="1"/>
    <xf numFmtId="3" fontId="18" fillId="18" borderId="8" xfId="0" applyNumberFormat="1" applyFont="1" applyFill="1" applyBorder="1" applyAlignment="1">
      <alignment horizontal="center"/>
    </xf>
    <xf numFmtId="3" fontId="18" fillId="12" borderId="8" xfId="0" applyNumberFormat="1" applyFont="1" applyFill="1" applyBorder="1" applyAlignment="1">
      <alignment horizontal="center"/>
    </xf>
    <xf numFmtId="3" fontId="18" fillId="13" borderId="8" xfId="0" applyNumberFormat="1" applyFont="1" applyFill="1" applyBorder="1" applyAlignment="1">
      <alignment horizontal="center"/>
    </xf>
    <xf numFmtId="3" fontId="18" fillId="14" borderId="8" xfId="0" applyNumberFormat="1" applyFont="1" applyFill="1" applyBorder="1" applyAlignment="1">
      <alignment horizontal="center"/>
    </xf>
    <xf numFmtId="168" fontId="44" fillId="0" borderId="10" xfId="0" applyNumberFormat="1" applyFont="1" applyBorder="1" applyAlignment="1">
      <alignment horizontal="left" vertical="center"/>
    </xf>
    <xf numFmtId="168" fontId="38" fillId="0" borderId="3" xfId="0" applyNumberFormat="1" applyFont="1" applyBorder="1" applyAlignment="1">
      <alignment horizontal="left" vertical="center"/>
    </xf>
    <xf numFmtId="0" fontId="18" fillId="12" borderId="7" xfId="0" applyFont="1" applyFill="1" applyBorder="1"/>
    <xf numFmtId="3" fontId="20" fillId="8" borderId="2" xfId="5" applyNumberFormat="1" applyFont="1" applyFill="1" applyBorder="1"/>
    <xf numFmtId="16" fontId="21" fillId="6" borderId="3" xfId="19" applyNumberFormat="1" applyFont="1" applyFill="1" applyBorder="1"/>
    <xf numFmtId="16" fontId="18" fillId="14" borderId="7" xfId="0" applyNumberFormat="1" applyFont="1" applyFill="1" applyBorder="1"/>
    <xf numFmtId="0" fontId="18" fillId="14" borderId="7" xfId="0" applyFont="1" applyFill="1" applyBorder="1"/>
    <xf numFmtId="0" fontId="16" fillId="13" borderId="7" xfId="0" applyFont="1" applyFill="1" applyBorder="1"/>
    <xf numFmtId="0" fontId="18" fillId="18" borderId="9" xfId="0" applyFont="1" applyFill="1" applyBorder="1"/>
    <xf numFmtId="0" fontId="32" fillId="14" borderId="11" xfId="19" applyFont="1" applyFill="1" applyBorder="1" applyAlignment="1">
      <alignment horizontal="left"/>
    </xf>
    <xf numFmtId="0" fontId="32" fillId="13" borderId="11" xfId="19" applyFont="1" applyFill="1" applyBorder="1" applyAlignment="1">
      <alignment horizontal="left"/>
    </xf>
    <xf numFmtId="3" fontId="21" fillId="12" borderId="11" xfId="19" applyNumberFormat="1" applyFont="1" applyFill="1" applyBorder="1"/>
    <xf numFmtId="3" fontId="21" fillId="18" borderId="11" xfId="19" applyNumberFormat="1" applyFont="1" applyFill="1" applyBorder="1"/>
    <xf numFmtId="0" fontId="28" fillId="8" borderId="9" xfId="19" applyFont="1" applyFill="1" applyBorder="1"/>
    <xf numFmtId="3" fontId="45" fillId="8" borderId="8" xfId="0" applyNumberFormat="1" applyFont="1" applyFill="1" applyBorder="1" applyAlignment="1">
      <alignment horizontal="center"/>
    </xf>
    <xf numFmtId="0" fontId="18" fillId="4" borderId="8" xfId="0" applyFont="1" applyFill="1" applyBorder="1" applyAlignment="1">
      <alignment horizontal="center"/>
    </xf>
    <xf numFmtId="0" fontId="18" fillId="14" borderId="9" xfId="0" applyFont="1" applyFill="1" applyBorder="1" applyAlignment="1">
      <alignment horizontal="right"/>
    </xf>
    <xf numFmtId="169" fontId="20" fillId="0" borderId="0" xfId="0" applyNumberFormat="1" applyFont="1"/>
    <xf numFmtId="165" fontId="20" fillId="0" borderId="0" xfId="5" applyFont="1"/>
    <xf numFmtId="43" fontId="14" fillId="0" borderId="0" xfId="26" applyFont="1"/>
    <xf numFmtId="43" fontId="20" fillId="0" borderId="0" xfId="26" applyFont="1"/>
    <xf numFmtId="43" fontId="18" fillId="0" borderId="4" xfId="26" applyFont="1" applyBorder="1"/>
    <xf numFmtId="43" fontId="18" fillId="0" borderId="0" xfId="26" applyFont="1" applyFill="1" applyBorder="1"/>
    <xf numFmtId="43" fontId="20" fillId="0" borderId="0" xfId="26" applyFont="1" applyFill="1"/>
    <xf numFmtId="43" fontId="20" fillId="0" borderId="0" xfId="26" applyFont="1" applyAlignment="1">
      <alignment vertical="top"/>
    </xf>
    <xf numFmtId="43" fontId="18" fillId="18" borderId="8" xfId="26" applyFont="1" applyFill="1" applyBorder="1" applyAlignment="1">
      <alignment horizontal="center"/>
    </xf>
    <xf numFmtId="43" fontId="21" fillId="0" borderId="0" xfId="26" applyFont="1"/>
    <xf numFmtId="43" fontId="20" fillId="20" borderId="0" xfId="26" applyFont="1" applyFill="1"/>
    <xf numFmtId="43" fontId="32" fillId="0" borderId="0" xfId="26" applyFont="1"/>
    <xf numFmtId="43" fontId="21" fillId="20" borderId="0" xfId="26" applyFont="1" applyFill="1"/>
    <xf numFmtId="43" fontId="25" fillId="0" borderId="0" xfId="26" applyFont="1"/>
    <xf numFmtId="43" fontId="17" fillId="0" borderId="0" xfId="26" applyFont="1"/>
    <xf numFmtId="43" fontId="45" fillId="0" borderId="0" xfId="26" applyFont="1" applyAlignment="1">
      <alignment horizontal="center"/>
    </xf>
    <xf numFmtId="43" fontId="32" fillId="14" borderId="9" xfId="26" applyFont="1" applyFill="1" applyBorder="1"/>
    <xf numFmtId="43" fontId="21" fillId="0" borderId="0" xfId="26" applyFont="1" applyFill="1"/>
    <xf numFmtId="43" fontId="34" fillId="0" borderId="0" xfId="26" applyFont="1" applyFill="1"/>
    <xf numFmtId="43" fontId="21" fillId="16" borderId="0" xfId="26" applyFont="1" applyFill="1"/>
    <xf numFmtId="43" fontId="32" fillId="13" borderId="9" xfId="26" applyFont="1" applyFill="1" applyBorder="1"/>
    <xf numFmtId="43" fontId="21" fillId="17" borderId="0" xfId="26" applyFont="1" applyFill="1"/>
    <xf numFmtId="43" fontId="32" fillId="12" borderId="9" xfId="26" applyFont="1" applyFill="1" applyBorder="1"/>
    <xf numFmtId="43" fontId="21" fillId="24" borderId="0" xfId="26" applyFont="1" applyFill="1"/>
    <xf numFmtId="43" fontId="32" fillId="18" borderId="9" xfId="26" applyFont="1" applyFill="1" applyBorder="1"/>
    <xf numFmtId="43" fontId="21" fillId="0" borderId="0" xfId="26" applyFont="1" applyFill="1" applyAlignment="1"/>
    <xf numFmtId="43" fontId="34" fillId="2" borderId="0" xfId="26" applyFont="1" applyFill="1"/>
    <xf numFmtId="43" fontId="29" fillId="0" borderId="0" xfId="26" applyFont="1"/>
    <xf numFmtId="43" fontId="45" fillId="8" borderId="8" xfId="26" applyFont="1" applyFill="1" applyBorder="1" applyAlignment="1">
      <alignment horizontal="center"/>
    </xf>
    <xf numFmtId="43" fontId="20" fillId="2" borderId="0" xfId="26" applyFont="1" applyFill="1"/>
    <xf numFmtId="43" fontId="33" fillId="0" borderId="0" xfId="26" applyFont="1"/>
    <xf numFmtId="43" fontId="18" fillId="4" borderId="8" xfId="26" applyFont="1" applyFill="1" applyBorder="1" applyAlignment="1">
      <alignment horizontal="center"/>
    </xf>
    <xf numFmtId="43" fontId="18" fillId="3" borderId="4" xfId="26" applyFont="1" applyFill="1" applyBorder="1"/>
    <xf numFmtId="43" fontId="0" fillId="0" borderId="0" xfId="26" applyFont="1"/>
    <xf numFmtId="169" fontId="14" fillId="0" borderId="0" xfId="26" applyNumberFormat="1" applyFont="1"/>
    <xf numFmtId="169" fontId="20" fillId="0" borderId="0" xfId="26" applyNumberFormat="1" applyFont="1"/>
    <xf numFmtId="169" fontId="18" fillId="14" borderId="8" xfId="26" applyNumberFormat="1" applyFont="1" applyFill="1" applyBorder="1" applyAlignment="1">
      <alignment horizontal="center"/>
    </xf>
    <xf numFmtId="169" fontId="49" fillId="0" borderId="0" xfId="26" applyNumberFormat="1" applyFont="1" applyFill="1"/>
    <xf numFmtId="169" fontId="20" fillId="0" borderId="0" xfId="26" applyNumberFormat="1" applyFont="1" applyFill="1"/>
    <xf numFmtId="169" fontId="18" fillId="0" borderId="0" xfId="26" applyNumberFormat="1" applyFont="1"/>
    <xf numFmtId="169" fontId="20" fillId="10" borderId="0" xfId="26" applyNumberFormat="1" applyFont="1" applyFill="1" applyBorder="1"/>
    <xf numFmtId="169" fontId="18" fillId="9" borderId="4" xfId="26" applyNumberFormat="1" applyFont="1" applyFill="1" applyBorder="1"/>
    <xf numFmtId="169" fontId="22" fillId="0" borderId="0" xfId="26" applyNumberFormat="1" applyFont="1"/>
    <xf numFmtId="169" fontId="18" fillId="0" borderId="0" xfId="26" applyNumberFormat="1" applyFont="1" applyFill="1" applyBorder="1"/>
    <xf numFmtId="169" fontId="34" fillId="0" borderId="0" xfId="26" applyNumberFormat="1" applyFont="1"/>
    <xf numFmtId="169" fontId="20" fillId="0" borderId="0" xfId="26" applyNumberFormat="1" applyFont="1" applyFill="1" applyBorder="1"/>
    <xf numFmtId="169" fontId="18" fillId="13" borderId="8" xfId="26" applyNumberFormat="1" applyFont="1" applyFill="1" applyBorder="1" applyAlignment="1">
      <alignment horizontal="center"/>
    </xf>
    <xf numFmtId="169" fontId="20" fillId="15" borderId="0" xfId="26" applyNumberFormat="1" applyFont="1" applyFill="1" applyBorder="1"/>
    <xf numFmtId="169" fontId="16" fillId="0" borderId="0" xfId="26" applyNumberFormat="1" applyFont="1" applyAlignment="1">
      <alignment horizontal="right" wrapText="1"/>
    </xf>
    <xf numFmtId="169" fontId="18" fillId="3" borderId="8" xfId="26" applyNumberFormat="1" applyFont="1" applyFill="1" applyBorder="1" applyAlignment="1">
      <alignment horizontal="center"/>
    </xf>
    <xf numFmtId="169" fontId="49" fillId="0" borderId="0" xfId="26" applyNumberFormat="1" applyFont="1"/>
    <xf numFmtId="169" fontId="18" fillId="0" borderId="4" xfId="26" applyNumberFormat="1" applyFont="1" applyFill="1" applyBorder="1"/>
    <xf numFmtId="169" fontId="18" fillId="0" borderId="4" xfId="26" applyNumberFormat="1" applyFont="1" applyBorder="1"/>
    <xf numFmtId="169" fontId="20" fillId="22" borderId="0" xfId="26" applyNumberFormat="1" applyFont="1" applyFill="1"/>
    <xf numFmtId="169" fontId="20" fillId="17" borderId="0" xfId="26" applyNumberFormat="1" applyFont="1" applyFill="1"/>
    <xf numFmtId="169" fontId="20" fillId="19" borderId="0" xfId="26" applyNumberFormat="1" applyFont="1" applyFill="1"/>
    <xf numFmtId="169" fontId="20" fillId="19" borderId="0" xfId="26" applyNumberFormat="1" applyFont="1" applyFill="1" applyBorder="1"/>
    <xf numFmtId="169" fontId="18" fillId="0" borderId="0" xfId="26" applyNumberFormat="1" applyFont="1" applyFill="1"/>
    <xf numFmtId="169" fontId="20" fillId="23" borderId="0" xfId="26" applyNumberFormat="1" applyFont="1" applyFill="1"/>
    <xf numFmtId="169" fontId="20" fillId="11" borderId="0" xfId="26" applyNumberFormat="1" applyFont="1" applyFill="1"/>
    <xf numFmtId="169" fontId="20" fillId="0" borderId="0" xfId="26" applyNumberFormat="1" applyFont="1" applyAlignment="1">
      <alignment vertical="top"/>
    </xf>
    <xf numFmtId="169" fontId="18" fillId="12" borderId="8" xfId="26" applyNumberFormat="1" applyFont="1" applyFill="1" applyBorder="1" applyAlignment="1">
      <alignment horizontal="center"/>
    </xf>
    <xf numFmtId="169" fontId="18" fillId="9" borderId="4" xfId="5" applyNumberFormat="1" applyFont="1" applyFill="1" applyBorder="1"/>
    <xf numFmtId="169" fontId="20" fillId="8" borderId="0" xfId="26" applyNumberFormat="1" applyFont="1" applyFill="1" applyBorder="1"/>
    <xf numFmtId="169" fontId="18" fillId="8" borderId="1" xfId="26" applyNumberFormat="1" applyFont="1" applyFill="1" applyBorder="1"/>
    <xf numFmtId="169" fontId="18" fillId="18" borderId="8" xfId="26" applyNumberFormat="1" applyFont="1" applyFill="1" applyBorder="1" applyAlignment="1">
      <alignment horizontal="center"/>
    </xf>
    <xf numFmtId="169" fontId="21" fillId="0" borderId="0" xfId="26" applyNumberFormat="1" applyFont="1"/>
    <xf numFmtId="169" fontId="20" fillId="20" borderId="0" xfId="26" applyNumberFormat="1" applyFont="1" applyFill="1"/>
    <xf numFmtId="169" fontId="20" fillId="25" borderId="0" xfId="26" applyNumberFormat="1" applyFont="1" applyFill="1" applyBorder="1"/>
    <xf numFmtId="43" fontId="20" fillId="0" borderId="0" xfId="0" applyNumberFormat="1" applyFont="1"/>
    <xf numFmtId="0" fontId="1" fillId="0" borderId="0" xfId="2" applyFont="1"/>
    <xf numFmtId="0" fontId="49" fillId="0" borderId="0" xfId="0" applyFont="1"/>
    <xf numFmtId="0" fontId="18" fillId="8" borderId="14" xfId="0" applyFont="1" applyFill="1" applyBorder="1"/>
    <xf numFmtId="0" fontId="14" fillId="8" borderId="15" xfId="0" applyFont="1" applyFill="1" applyBorder="1"/>
    <xf numFmtId="0" fontId="18" fillId="8" borderId="15" xfId="0" applyFont="1" applyFill="1" applyBorder="1"/>
    <xf numFmtId="38" fontId="24" fillId="8" borderId="15" xfId="0" applyNumberFormat="1" applyFont="1" applyFill="1" applyBorder="1"/>
    <xf numFmtId="169" fontId="24" fillId="8" borderId="15" xfId="26" applyNumberFormat="1" applyFont="1" applyFill="1" applyBorder="1"/>
    <xf numFmtId="0" fontId="14" fillId="8" borderId="16" xfId="0" applyFont="1" applyFill="1" applyBorder="1"/>
    <xf numFmtId="0" fontId="21" fillId="5" borderId="12" xfId="19" applyFont="1" applyFill="1" applyBorder="1"/>
    <xf numFmtId="0" fontId="21" fillId="7" borderId="12" xfId="19" applyFont="1" applyFill="1" applyBorder="1"/>
    <xf numFmtId="0" fontId="21" fillId="6" borderId="12" xfId="19" applyFont="1" applyFill="1" applyBorder="1"/>
    <xf numFmtId="9" fontId="29" fillId="9" borderId="13" xfId="16" applyFont="1" applyFill="1" applyBorder="1"/>
    <xf numFmtId="38" fontId="1" fillId="0" borderId="0" xfId="2" applyNumberFormat="1" applyFont="1"/>
  </cellXfs>
  <cellStyles count="27">
    <cellStyle name="Benyttet hyperkobling" xfId="15" builtinId="9" hidden="1"/>
    <cellStyle name="Benyttet hyperkobling" xfId="13" builtinId="9" hidden="1"/>
    <cellStyle name="Benyttet hyperkobling" xfId="11" builtinId="9" hidden="1"/>
    <cellStyle name="Hyperkobling" xfId="14" builtinId="8" hidden="1"/>
    <cellStyle name="Hyperkobling" xfId="10" builtinId="8" hidden="1"/>
    <cellStyle name="Hyperkobling" xfId="12" builtinId="8" hidden="1"/>
    <cellStyle name="Komma" xfId="26" builtinId="3"/>
    <cellStyle name="Komma 2" xfId="1" xr:uid="{00000000-0005-0000-0000-000006000000}"/>
    <cellStyle name="Komma 2 2" xfId="9" xr:uid="{00000000-0005-0000-0000-000007000000}"/>
    <cellStyle name="Komma 2 3" xfId="17" xr:uid="{3342BA57-0A0B-459F-BAA8-E9113F738D0B}"/>
    <cellStyle name="Komma 2 4" xfId="24" xr:uid="{5C9DEF04-1C0F-4EC5-BA90-2C603AA04E7F}"/>
    <cellStyle name="Komma 3" xfId="21" xr:uid="{2AC606B4-46E5-4E31-B19C-BB7E1B6F43C6}"/>
    <cellStyle name="Normal" xfId="0" builtinId="0"/>
    <cellStyle name="Normal 2" xfId="2" xr:uid="{00000000-0005-0000-0000-000009000000}"/>
    <cellStyle name="Normal 2 2" xfId="3" xr:uid="{00000000-0005-0000-0000-00000A000000}"/>
    <cellStyle name="Normal 2 3" xfId="7" xr:uid="{00000000-0005-0000-0000-00000B000000}"/>
    <cellStyle name="Normal 2 4" xfId="18" xr:uid="{7771AF03-A9E7-4BD8-8DE5-52F6E1995337}"/>
    <cellStyle name="Normal 2 5" xfId="22" xr:uid="{EB2040FF-9833-4167-A43C-2CDC8582D36C}"/>
    <cellStyle name="Normal 3" xfId="19" xr:uid="{018CDEF2-3FA9-4D19-9B71-DBA2B350C835}"/>
    <cellStyle name="Normal 4" xfId="6" xr:uid="{00000000-0005-0000-0000-00000C000000}"/>
    <cellStyle name="Normal 5" xfId="25" xr:uid="{048B90A6-B6FD-4AE6-A0FA-E411E4FB8BC5}"/>
    <cellStyle name="Prosent" xfId="16" builtinId="5"/>
    <cellStyle name="Prosent 2" xfId="4" xr:uid="{00000000-0005-0000-0000-00000E000000}"/>
    <cellStyle name="Prosent 2 2" xfId="23" xr:uid="{5B67CE94-AC67-49AD-884A-7BB6A16E296A}"/>
    <cellStyle name="Prosent 3" xfId="20" xr:uid="{BD175215-9E8D-46C1-93E1-05BE2D1DAC38}"/>
    <cellStyle name="Valuta" xfId="5" builtinId="4"/>
    <cellStyle name="Valuta 2" xfId="8" xr:uid="{00000000-0005-0000-0000-000010000000}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99"/>
      <color rgb="FFEEF6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tabColor theme="2" tint="-9.9978637043366805E-2"/>
    <pageSetUpPr fitToPage="1"/>
  </sheetPr>
  <dimension ref="A3:G79"/>
  <sheetViews>
    <sheetView showGridLines="0" topLeftCell="A33" zoomScaleNormal="100" zoomScaleSheetLayoutView="100" workbookViewId="0">
      <selection activeCell="G18" sqref="G18"/>
    </sheetView>
  </sheetViews>
  <sheetFormatPr defaultColWidth="10.85546875" defaultRowHeight="15.75"/>
  <cols>
    <col min="1" max="1" width="11.7109375" style="39" customWidth="1"/>
    <col min="2" max="2" width="5.28515625" style="39" customWidth="1"/>
    <col min="3" max="3" width="65.85546875" style="39" bestFit="1" customWidth="1"/>
    <col min="4" max="5" width="25.28515625" style="30" customWidth="1"/>
    <col min="6" max="7" width="25.28515625" style="39" customWidth="1"/>
    <col min="8" max="8" width="23.85546875" style="39" customWidth="1"/>
    <col min="9" max="9" width="108.5703125" style="39" bestFit="1" customWidth="1"/>
    <col min="10" max="16384" width="10.85546875" style="39"/>
  </cols>
  <sheetData>
    <row r="3" spans="1:6" ht="23.25">
      <c r="B3" s="41" t="s">
        <v>0</v>
      </c>
    </row>
    <row r="4" spans="1:6" ht="15" customHeight="1">
      <c r="A4" s="41"/>
    </row>
    <row r="5" spans="1:6" ht="23.25">
      <c r="A5" s="41"/>
      <c r="B5" s="42" t="s">
        <v>1</v>
      </c>
      <c r="C5" s="42"/>
      <c r="D5" s="32"/>
      <c r="E5" s="32"/>
    </row>
    <row r="6" spans="1:6" ht="23.25">
      <c r="A6" s="41"/>
      <c r="D6" s="32"/>
      <c r="E6" s="32"/>
    </row>
    <row r="7" spans="1:6" s="45" customFormat="1" ht="21">
      <c r="A7" s="43"/>
      <c r="B7" s="44" t="s">
        <v>2</v>
      </c>
      <c r="C7" s="44"/>
      <c r="D7" s="32"/>
      <c r="E7" s="32"/>
    </row>
    <row r="8" spans="1:6" s="32" customFormat="1" ht="18">
      <c r="A8" s="46"/>
      <c r="B8" s="46"/>
      <c r="C8" s="46"/>
      <c r="D8" s="227" t="s">
        <v>3</v>
      </c>
      <c r="E8" s="227" t="s">
        <v>4</v>
      </c>
      <c r="F8" s="228" t="s">
        <v>5</v>
      </c>
    </row>
    <row r="9" spans="1:6" s="32" customFormat="1" ht="16.5">
      <c r="A9" s="47"/>
      <c r="B9" s="241" t="s">
        <v>6</v>
      </c>
      <c r="C9" s="241"/>
      <c r="D9" s="241">
        <f>Inntekter!D7</f>
        <v>935594</v>
      </c>
      <c r="E9" s="241">
        <f>Inntekter!E7</f>
        <v>1165800</v>
      </c>
      <c r="F9" s="241">
        <f>Inntekter!F7</f>
        <v>1150000</v>
      </c>
    </row>
    <row r="10" spans="1:6" s="32" customFormat="1" ht="11.25" customHeight="1">
      <c r="A10" s="47"/>
      <c r="B10" s="48"/>
      <c r="C10" s="36"/>
      <c r="D10" s="49"/>
    </row>
    <row r="11" spans="1:6" s="32" customFormat="1" ht="16.5">
      <c r="A11" s="47"/>
      <c r="B11" s="241" t="s">
        <v>7</v>
      </c>
      <c r="C11" s="241"/>
      <c r="D11" s="241">
        <f>SUM(D12:D15)</f>
        <v>19685840.77</v>
      </c>
      <c r="E11" s="241">
        <f>SUM(E12:E15)</f>
        <v>21010958.489999998</v>
      </c>
      <c r="F11" s="241">
        <f>SUM(F12:F15)</f>
        <v>21889349.91</v>
      </c>
    </row>
    <row r="12" spans="1:6" s="32" customFormat="1" ht="16.5">
      <c r="A12" s="47"/>
      <c r="B12" s="48" t="s">
        <v>8</v>
      </c>
      <c r="C12" s="36" t="s">
        <v>9</v>
      </c>
      <c r="D12" s="49">
        <f>Inntekter!D16</f>
        <v>9963144</v>
      </c>
      <c r="E12" s="49">
        <f>Inntekter!E16</f>
        <v>10010954</v>
      </c>
      <c r="F12" s="49">
        <f>Inntekter!F16</f>
        <v>10010954</v>
      </c>
    </row>
    <row r="13" spans="1:6" s="32" customFormat="1" ht="16.5">
      <c r="A13" s="47"/>
      <c r="B13" s="48" t="s">
        <v>10</v>
      </c>
      <c r="C13" s="36" t="s">
        <v>11</v>
      </c>
      <c r="D13" s="49">
        <f>Inntekter!D26</f>
        <v>3100990.11</v>
      </c>
      <c r="E13" s="49">
        <f>Inntekter!E26</f>
        <v>2464392.85</v>
      </c>
      <c r="F13" s="49">
        <f>Inntekter!F26</f>
        <v>2700276.24</v>
      </c>
    </row>
    <row r="14" spans="1:6" s="32" customFormat="1" ht="16.5">
      <c r="A14" s="47"/>
      <c r="B14" s="48" t="s">
        <v>12</v>
      </c>
      <c r="C14" s="36" t="s">
        <v>13</v>
      </c>
      <c r="D14" s="49">
        <f>Inntekter!D34</f>
        <v>6353449.7300000004</v>
      </c>
      <c r="E14" s="49">
        <f>Inntekter!E34</f>
        <v>7097495.7300000004</v>
      </c>
      <c r="F14" s="49">
        <f>Inntekter!F34</f>
        <v>7097495.7300000004</v>
      </c>
    </row>
    <row r="15" spans="1:6" s="32" customFormat="1" ht="16.5">
      <c r="A15" s="47"/>
      <c r="B15" s="48" t="s">
        <v>14</v>
      </c>
      <c r="C15" s="36" t="s">
        <v>15</v>
      </c>
      <c r="D15" s="49">
        <f>Inntekter!D44</f>
        <v>268256.93000000005</v>
      </c>
      <c r="E15" s="49">
        <f>Inntekter!E44</f>
        <v>1438115.91</v>
      </c>
      <c r="F15" s="49">
        <f>Inntekter!F44</f>
        <v>2080623.94</v>
      </c>
    </row>
    <row r="16" spans="1:6" s="32" customFormat="1" ht="11.25" customHeight="1">
      <c r="A16" s="47"/>
      <c r="B16" s="48"/>
      <c r="C16" s="36"/>
      <c r="D16" s="49"/>
    </row>
    <row r="17" spans="1:6" s="32" customFormat="1" ht="16.5">
      <c r="A17" s="47"/>
      <c r="B17" s="241" t="s">
        <v>16</v>
      </c>
      <c r="C17" s="241"/>
      <c r="D17" s="241">
        <f>SUM(D18:D19)</f>
        <v>276251.75</v>
      </c>
      <c r="E17" s="241">
        <f>SUM(E18:E19)</f>
        <v>107563.8</v>
      </c>
      <c r="F17" s="241">
        <f>SUM(F18:F19)</f>
        <v>85000</v>
      </c>
    </row>
    <row r="18" spans="1:6" s="32" customFormat="1" ht="16.5">
      <c r="A18" s="47"/>
      <c r="B18" s="48" t="s">
        <v>17</v>
      </c>
      <c r="C18" s="36" t="s">
        <v>18</v>
      </c>
      <c r="D18" s="49">
        <f>Inntekter!D52</f>
        <v>75021.75</v>
      </c>
      <c r="E18" s="49">
        <f>Inntekter!E52</f>
        <v>100563.8</v>
      </c>
      <c r="F18" s="49">
        <f>Inntekter!F52</f>
        <v>75000</v>
      </c>
    </row>
    <row r="19" spans="1:6" s="32" customFormat="1" ht="16.5">
      <c r="A19" s="47"/>
      <c r="B19" s="48" t="s">
        <v>19</v>
      </c>
      <c r="C19" s="36" t="s">
        <v>20</v>
      </c>
      <c r="D19" s="49">
        <f>Inntekter!D56</f>
        <v>201230</v>
      </c>
      <c r="E19" s="49">
        <f>Inntekter!E56</f>
        <v>7000</v>
      </c>
      <c r="F19" s="49">
        <f>Inntekter!F56</f>
        <v>10000</v>
      </c>
    </row>
    <row r="20" spans="1:6" s="32" customFormat="1" ht="11.25" customHeight="1">
      <c r="A20" s="47"/>
      <c r="B20" s="48"/>
      <c r="C20" s="36"/>
      <c r="D20" s="49"/>
    </row>
    <row r="21" spans="1:6" s="32" customFormat="1" ht="16.5">
      <c r="A21" s="47"/>
      <c r="B21" s="241" t="s">
        <v>21</v>
      </c>
      <c r="C21" s="241"/>
      <c r="D21" s="241">
        <f>Inntekter!D65</f>
        <v>391833.33999999997</v>
      </c>
      <c r="E21" s="241">
        <f>Inntekter!E65</f>
        <v>517696.78</v>
      </c>
      <c r="F21" s="241">
        <f>Inntekter!F65</f>
        <v>465000</v>
      </c>
    </row>
    <row r="22" spans="1:6" s="32" customFormat="1" ht="11.25" customHeight="1">
      <c r="A22" s="47"/>
      <c r="B22" s="48"/>
      <c r="C22" s="50"/>
      <c r="D22" s="36"/>
    </row>
    <row r="23" spans="1:6" s="32" customFormat="1" ht="16.5">
      <c r="A23" s="47"/>
      <c r="B23" s="241" t="s">
        <v>22</v>
      </c>
      <c r="C23" s="241"/>
      <c r="D23" s="241">
        <f>Inntekter!D71</f>
        <v>0</v>
      </c>
      <c r="E23" s="241">
        <f>Inntekter!E71</f>
        <v>0</v>
      </c>
      <c r="F23" s="241">
        <f>Inntekter!F71</f>
        <v>10000</v>
      </c>
    </row>
    <row r="24" spans="1:6" s="32" customFormat="1" ht="15" customHeight="1"/>
    <row r="25" spans="1:6" s="45" customFormat="1" ht="18.75" thickBot="1">
      <c r="A25" s="51"/>
      <c r="B25" s="52" t="s">
        <v>23</v>
      </c>
      <c r="C25" s="52"/>
      <c r="D25" s="53">
        <f>D9+D11+D17+D21+D23</f>
        <v>21289519.859999999</v>
      </c>
      <c r="E25" s="53">
        <f>E9+E11+E17+E21+E23</f>
        <v>22802019.07</v>
      </c>
      <c r="F25" s="53">
        <f>F9+F11+F17+F21+F23</f>
        <v>23599349.91</v>
      </c>
    </row>
    <row r="26" spans="1:6" s="30" customFormat="1" ht="10.5" customHeight="1">
      <c r="A26" s="54"/>
      <c r="B26" s="54"/>
      <c r="C26" s="54"/>
      <c r="D26" s="55"/>
      <c r="E26" s="55"/>
    </row>
    <row r="27" spans="1:6" s="30" customFormat="1" ht="21">
      <c r="A27" s="54"/>
      <c r="B27" s="44" t="s">
        <v>24</v>
      </c>
      <c r="C27" s="44"/>
      <c r="D27" s="55"/>
      <c r="E27" s="55"/>
    </row>
    <row r="28" spans="1:6" s="30" customFormat="1" ht="21">
      <c r="A28" s="54"/>
      <c r="B28" s="56" t="s">
        <v>25</v>
      </c>
      <c r="C28" s="44"/>
      <c r="D28" s="55"/>
      <c r="E28" s="55"/>
    </row>
    <row r="29" spans="1:6" s="32" customFormat="1" ht="18">
      <c r="A29" s="46"/>
      <c r="B29" s="46"/>
      <c r="C29" s="46"/>
      <c r="D29" s="227" t="str">
        <f>D$8</f>
        <v>Rekneskap 2023</v>
      </c>
      <c r="E29" s="227" t="str">
        <f>E$8</f>
        <v>Reknskap 2024</v>
      </c>
      <c r="F29" s="227" t="str">
        <f>F$8</f>
        <v>Budsjett 2024 rev. 2</v>
      </c>
    </row>
    <row r="30" spans="1:6" s="30" customFormat="1" ht="16.5">
      <c r="A30" s="54"/>
      <c r="B30" s="242" t="s">
        <v>26</v>
      </c>
      <c r="C30" s="243"/>
      <c r="D30" s="244">
        <f>SUM(D31:D40)</f>
        <v>4370643.6199999992</v>
      </c>
      <c r="E30" s="244">
        <f>SUM(E31:E40)</f>
        <v>4926644.6572246114</v>
      </c>
      <c r="F30" s="244">
        <f>SUM(F31:F40)</f>
        <v>5449084.5099999998</v>
      </c>
    </row>
    <row r="31" spans="1:6" s="30" customFormat="1" ht="16.5">
      <c r="A31" s="54"/>
      <c r="B31" s="171" t="s">
        <v>27</v>
      </c>
      <c r="C31" s="172" t="s">
        <v>28</v>
      </c>
      <c r="D31" s="173">
        <f>Kompetanse!D16</f>
        <v>832936.95999999996</v>
      </c>
      <c r="E31" s="173">
        <f>Kompetanse!E16</f>
        <v>1654288.6372246114</v>
      </c>
      <c r="F31" s="173">
        <f>Kompetanse!F16</f>
        <v>1951000</v>
      </c>
    </row>
    <row r="32" spans="1:6" s="30" customFormat="1" ht="16.5">
      <c r="A32" s="54"/>
      <c r="B32" s="171" t="s">
        <v>29</v>
      </c>
      <c r="C32" s="172" t="s">
        <v>30</v>
      </c>
      <c r="D32" s="173">
        <f>Kompetanse!D30</f>
        <v>1255407.21</v>
      </c>
      <c r="E32" s="173">
        <f>Kompetanse!E30</f>
        <v>552319.61</v>
      </c>
      <c r="F32" s="173">
        <f>Kompetanse!F30</f>
        <v>818000</v>
      </c>
    </row>
    <row r="33" spans="1:6" s="30" customFormat="1" ht="16.5">
      <c r="A33" s="54"/>
      <c r="B33" s="171" t="s">
        <v>31</v>
      </c>
      <c r="C33" s="172" t="s">
        <v>32</v>
      </c>
      <c r="D33" s="173">
        <f>Kompetanse!D47</f>
        <v>938006.04999999993</v>
      </c>
      <c r="E33" s="173">
        <f>Kompetanse!E47</f>
        <v>723781.99</v>
      </c>
      <c r="F33" s="173">
        <f>Kompetanse!F47</f>
        <v>897000</v>
      </c>
    </row>
    <row r="34" spans="1:6" s="30" customFormat="1" ht="16.5">
      <c r="A34" s="54"/>
      <c r="B34" s="171" t="s">
        <v>33</v>
      </c>
      <c r="C34" s="172" t="s">
        <v>34</v>
      </c>
      <c r="D34" s="173">
        <f>Kompetanse!D61</f>
        <v>0</v>
      </c>
      <c r="E34" s="173">
        <f>Kompetanse!E61</f>
        <v>170995.92</v>
      </c>
      <c r="F34" s="173">
        <f>Kompetanse!F61</f>
        <v>300000</v>
      </c>
    </row>
    <row r="35" spans="1:6" s="30" customFormat="1" ht="16.5">
      <c r="A35" s="54"/>
      <c r="B35" s="171" t="s">
        <v>35</v>
      </c>
      <c r="C35" s="172" t="s">
        <v>36</v>
      </c>
      <c r="D35" s="173">
        <f>Kompetanse!D78</f>
        <v>654206.59</v>
      </c>
      <c r="E35" s="173">
        <f>Kompetanse!E78</f>
        <v>784572.80999999994</v>
      </c>
      <c r="F35" s="173">
        <f>Kompetanse!F78</f>
        <v>605557</v>
      </c>
    </row>
    <row r="36" spans="1:6" s="30" customFormat="1" ht="16.5">
      <c r="A36" s="54"/>
      <c r="B36" s="171" t="s">
        <v>37</v>
      </c>
      <c r="C36" s="172" t="s">
        <v>38</v>
      </c>
      <c r="D36" s="173">
        <f>Kompetanse!D92</f>
        <v>213281.15</v>
      </c>
      <c r="E36" s="173">
        <f>Kompetanse!E92</f>
        <v>404567.88</v>
      </c>
      <c r="F36" s="173">
        <f>Kompetanse!F92</f>
        <v>406718.85</v>
      </c>
    </row>
    <row r="37" spans="1:6" s="30" customFormat="1" ht="16.5">
      <c r="A37" s="54"/>
      <c r="B37" s="171" t="s">
        <v>39</v>
      </c>
      <c r="C37" s="172" t="s">
        <v>40</v>
      </c>
      <c r="D37" s="173">
        <f>Kompetanse!D105</f>
        <v>0</v>
      </c>
      <c r="E37" s="173">
        <f>Kompetanse!E105</f>
        <v>492577.63</v>
      </c>
      <c r="F37" s="173">
        <f>Kompetanse!F105</f>
        <v>350000</v>
      </c>
    </row>
    <row r="38" spans="1:6" s="30" customFormat="1" ht="16.5">
      <c r="A38" s="54"/>
      <c r="B38" s="171" t="s">
        <v>41</v>
      </c>
      <c r="C38" s="172" t="s">
        <v>42</v>
      </c>
      <c r="D38" s="173">
        <f>Kompetanse!D120</f>
        <v>300061.24</v>
      </c>
      <c r="E38" s="173">
        <f>Kompetanse!E120</f>
        <v>143540.18</v>
      </c>
      <c r="F38" s="173">
        <f>Kompetanse!F120</f>
        <v>120808.66</v>
      </c>
    </row>
    <row r="39" spans="1:6" s="30" customFormat="1" ht="16.5">
      <c r="A39" s="54"/>
      <c r="B39" s="171" t="s">
        <v>43</v>
      </c>
      <c r="C39" s="172" t="s">
        <v>44</v>
      </c>
      <c r="D39" s="173">
        <f>Kompetanse!D135</f>
        <v>90124.840000000011</v>
      </c>
      <c r="E39" s="173">
        <f>Kompetanse!E135</f>
        <v>0</v>
      </c>
      <c r="F39" s="173">
        <f>Kompetanse!F135</f>
        <v>0</v>
      </c>
    </row>
    <row r="40" spans="1:6" s="30" customFormat="1" ht="16.5">
      <c r="A40" s="54"/>
      <c r="B40" s="171" t="s">
        <v>45</v>
      </c>
      <c r="C40" s="172" t="s">
        <v>46</v>
      </c>
      <c r="D40" s="173">
        <f>Kompetanse!D147</f>
        <v>86619.58</v>
      </c>
      <c r="E40" s="173">
        <f>Kompetanse!E147</f>
        <v>0</v>
      </c>
      <c r="F40" s="173">
        <f>Kompetanse!F147</f>
        <v>0</v>
      </c>
    </row>
    <row r="41" spans="1:6" s="30" customFormat="1" ht="11.25" customHeight="1">
      <c r="A41" s="54"/>
      <c r="B41" s="8"/>
      <c r="C41" s="8"/>
      <c r="D41" s="49"/>
    </row>
    <row r="42" spans="1:6" s="30" customFormat="1" ht="16.5">
      <c r="A42" s="54"/>
      <c r="B42" s="245" t="s">
        <v>47</v>
      </c>
      <c r="C42" s="245"/>
      <c r="D42" s="245">
        <f>SUM(D43:D45)</f>
        <v>2409203.3200000003</v>
      </c>
      <c r="E42" s="245">
        <f>SUM(E43:E45)</f>
        <v>3192423.5732209105</v>
      </c>
      <c r="F42" s="245">
        <f>SUM(F43:F45)</f>
        <v>3737812</v>
      </c>
    </row>
    <row r="43" spans="1:6" s="30" customFormat="1" ht="16.5">
      <c r="A43" s="54"/>
      <c r="B43" s="165" t="s">
        <v>48</v>
      </c>
      <c r="C43" s="166" t="s">
        <v>49</v>
      </c>
      <c r="D43" s="167">
        <f>Politikk!D9</f>
        <v>1016255.81</v>
      </c>
      <c r="E43" s="167">
        <f>Politikk!E9</f>
        <v>1351744.1066104553</v>
      </c>
      <c r="F43" s="167">
        <f>Politikk!F9</f>
        <v>1336000</v>
      </c>
    </row>
    <row r="44" spans="1:6" s="30" customFormat="1" ht="16.5">
      <c r="A44" s="54"/>
      <c r="B44" s="165" t="s">
        <v>50</v>
      </c>
      <c r="C44" s="166" t="s">
        <v>51</v>
      </c>
      <c r="D44" s="167">
        <f>Politikk!D27</f>
        <v>1328619.8500000001</v>
      </c>
      <c r="E44" s="167">
        <f>Politikk!E27</f>
        <v>1387316.1666104551</v>
      </c>
      <c r="F44" s="167">
        <f>Politikk!F27</f>
        <v>1338000</v>
      </c>
    </row>
    <row r="45" spans="1:6" s="30" customFormat="1" ht="16.5">
      <c r="A45" s="54"/>
      <c r="B45" s="165" t="s">
        <v>52</v>
      </c>
      <c r="C45" s="166" t="s">
        <v>53</v>
      </c>
      <c r="D45" s="167">
        <f>Politikk!D41</f>
        <v>64327.659999999996</v>
      </c>
      <c r="E45" s="167">
        <f>Politikk!E41</f>
        <v>453363.30000000005</v>
      </c>
      <c r="F45" s="167">
        <f>Politikk!F41</f>
        <v>1063812</v>
      </c>
    </row>
    <row r="46" spans="1:6" s="30" customFormat="1" ht="11.25" customHeight="1">
      <c r="A46" s="54"/>
      <c r="B46" s="8"/>
      <c r="C46" s="8"/>
      <c r="D46" s="57"/>
    </row>
    <row r="47" spans="1:6" s="30" customFormat="1" ht="16.5">
      <c r="A47" s="54"/>
      <c r="B47" s="246" t="s">
        <v>54</v>
      </c>
      <c r="C47" s="247"/>
      <c r="D47" s="248">
        <f>SUM(D48:D53)</f>
        <v>6830093.4299999997</v>
      </c>
      <c r="E47" s="248">
        <f>SUM(E48:E53)</f>
        <v>8318581.6199999992</v>
      </c>
      <c r="F47" s="248">
        <f>SUM(F48:F53)</f>
        <v>8195000</v>
      </c>
    </row>
    <row r="48" spans="1:6" s="30" customFormat="1" ht="16.5">
      <c r="A48" s="54"/>
      <c r="B48" s="168" t="s">
        <v>55</v>
      </c>
      <c r="C48" s="169" t="s">
        <v>56</v>
      </c>
      <c r="D48" s="170">
        <f>Forvaltning!D16</f>
        <v>4536404.72</v>
      </c>
      <c r="E48" s="170">
        <f>Forvaltning!E16</f>
        <v>5420137.7599999998</v>
      </c>
      <c r="F48" s="170">
        <f>Forvaltning!F16</f>
        <v>5364000</v>
      </c>
    </row>
    <row r="49" spans="1:6" s="30" customFormat="1" ht="16.5">
      <c r="A49" s="54"/>
      <c r="B49" s="168" t="s">
        <v>57</v>
      </c>
      <c r="C49" s="169" t="s">
        <v>58</v>
      </c>
      <c r="D49" s="170">
        <f>Forvaltning!D31</f>
        <v>635504.27</v>
      </c>
      <c r="E49" s="170">
        <f>Forvaltning!E31</f>
        <v>736291.62</v>
      </c>
      <c r="F49" s="170">
        <f>Forvaltning!F31</f>
        <v>760000</v>
      </c>
    </row>
    <row r="50" spans="1:6" s="30" customFormat="1" ht="16.5">
      <c r="A50" s="54"/>
      <c r="B50" s="168" t="s">
        <v>59</v>
      </c>
      <c r="C50" s="169" t="s">
        <v>60</v>
      </c>
      <c r="D50" s="170">
        <f>Forvaltning!D45</f>
        <v>507006.89</v>
      </c>
      <c r="E50" s="170">
        <f>Forvaltning!E45</f>
        <v>589013.82999999996</v>
      </c>
      <c r="F50" s="170">
        <f>Forvaltning!F45</f>
        <v>508000</v>
      </c>
    </row>
    <row r="51" spans="1:6" s="30" customFormat="1" ht="16.5">
      <c r="A51" s="54"/>
      <c r="B51" s="168" t="s">
        <v>61</v>
      </c>
      <c r="C51" s="169" t="s">
        <v>62</v>
      </c>
      <c r="D51" s="170">
        <f>Forvaltning!D59</f>
        <v>905224.72</v>
      </c>
      <c r="E51" s="170">
        <f>Forvaltning!E59</f>
        <v>904933.25000000012</v>
      </c>
      <c r="F51" s="170">
        <f>Forvaltning!F59</f>
        <v>765000</v>
      </c>
    </row>
    <row r="52" spans="1:6" s="30" customFormat="1" ht="16.5">
      <c r="A52" s="54"/>
      <c r="B52" s="168" t="s">
        <v>63</v>
      </c>
      <c r="C52" s="169" t="s">
        <v>64</v>
      </c>
      <c r="D52" s="170">
        <f>Forvaltning!D72</f>
        <v>245952.83</v>
      </c>
      <c r="E52" s="170">
        <f>Forvaltning!E72</f>
        <v>385969.73</v>
      </c>
      <c r="F52" s="170">
        <f>Forvaltning!F72</f>
        <v>498000</v>
      </c>
    </row>
    <row r="53" spans="1:6" s="30" customFormat="1" ht="16.5">
      <c r="A53" s="54"/>
      <c r="B53" s="168" t="s">
        <v>65</v>
      </c>
      <c r="C53" s="169" t="s">
        <v>66</v>
      </c>
      <c r="D53" s="170">
        <f>Forvaltning!D84</f>
        <v>0</v>
      </c>
      <c r="E53" s="170">
        <f>Forvaltning!E84</f>
        <v>282235.43</v>
      </c>
      <c r="F53" s="170">
        <f>Forvaltning!F84</f>
        <v>300000</v>
      </c>
    </row>
    <row r="54" spans="1:6" s="30" customFormat="1" ht="11.25" customHeight="1">
      <c r="A54" s="54"/>
      <c r="B54" s="8"/>
      <c r="C54" s="8"/>
      <c r="D54" s="57"/>
    </row>
    <row r="55" spans="1:6" s="30" customFormat="1" ht="16.5">
      <c r="A55" s="54"/>
      <c r="B55" s="249" t="s">
        <v>67</v>
      </c>
      <c r="C55" s="250"/>
      <c r="D55" s="251">
        <f>SUM(D56:D57)</f>
        <v>2114296.6500000004</v>
      </c>
      <c r="E55" s="251">
        <f>SUM(E56:E57)</f>
        <v>2420750.6587015176</v>
      </c>
      <c r="F55" s="251">
        <f>SUM(F56:F57)</f>
        <v>2165000</v>
      </c>
    </row>
    <row r="56" spans="1:6" s="30" customFormat="1" ht="16.5">
      <c r="A56" s="54"/>
      <c r="B56" s="196" t="s">
        <v>68</v>
      </c>
      <c r="C56" s="197" t="s">
        <v>69</v>
      </c>
      <c r="D56" s="198">
        <f>Kommunikasjon!D11</f>
        <v>2114296.6500000004</v>
      </c>
      <c r="E56" s="198">
        <f>Kommunikasjon!E11</f>
        <v>2420750.6587015176</v>
      </c>
      <c r="F56" s="198">
        <f>Kommunikasjon!F11</f>
        <v>2165000</v>
      </c>
    </row>
    <row r="57" spans="1:6" s="30" customFormat="1" ht="16.5">
      <c r="A57" s="54"/>
      <c r="B57" s="196" t="s">
        <v>70</v>
      </c>
      <c r="C57" s="197" t="s">
        <v>71</v>
      </c>
      <c r="D57" s="198">
        <f>Kommunikasjon!D26</f>
        <v>0</v>
      </c>
      <c r="E57" s="198">
        <f>Kommunikasjon!E26</f>
        <v>0</v>
      </c>
      <c r="F57" s="198">
        <f>Kommunikasjon!F26</f>
        <v>0</v>
      </c>
    </row>
    <row r="58" spans="1:6" s="30" customFormat="1" ht="21" customHeight="1">
      <c r="A58" s="54"/>
      <c r="B58" s="56" t="s">
        <v>72</v>
      </c>
      <c r="C58" s="8"/>
      <c r="D58" s="57"/>
    </row>
    <row r="59" spans="1:6" s="30" customFormat="1" ht="6" customHeight="1">
      <c r="A59" s="54"/>
      <c r="B59" s="8"/>
      <c r="C59" s="8"/>
      <c r="D59" s="57"/>
    </row>
    <row r="60" spans="1:6" s="30" customFormat="1" ht="16.5">
      <c r="A60" s="54"/>
      <c r="B60" s="249" t="s">
        <v>73</v>
      </c>
      <c r="C60" s="250"/>
      <c r="D60" s="251">
        <f>SUM(D61:D62)</f>
        <v>4696307.09</v>
      </c>
      <c r="E60" s="251">
        <f>SUM(E61:E62)</f>
        <v>4701112.3182799304</v>
      </c>
      <c r="F60" s="251">
        <f>SUM(F61:F62)</f>
        <v>4738000</v>
      </c>
    </row>
    <row r="61" spans="1:6" s="30" customFormat="1" ht="16.5">
      <c r="A61" s="54"/>
      <c r="B61" s="196" t="s">
        <v>74</v>
      </c>
      <c r="C61" s="197" t="s">
        <v>75</v>
      </c>
      <c r="D61" s="198">
        <f>Administrasjon!D11</f>
        <v>785689.45</v>
      </c>
      <c r="E61" s="198">
        <f>Administrasjon!E11</f>
        <v>972677.53</v>
      </c>
      <c r="F61" s="198">
        <f>Administrasjon!G11</f>
        <v>938000</v>
      </c>
    </row>
    <row r="62" spans="1:6" s="30" customFormat="1" ht="16.5">
      <c r="A62" s="54"/>
      <c r="B62" s="196" t="s">
        <v>76</v>
      </c>
      <c r="C62" s="197" t="s">
        <v>77</v>
      </c>
      <c r="D62" s="198">
        <f>Administrasjon!D24</f>
        <v>3910617.64</v>
      </c>
      <c r="E62" s="198">
        <f>Administrasjon!E24</f>
        <v>3728434.7882799301</v>
      </c>
      <c r="F62" s="198">
        <f>Administrasjon!G24</f>
        <v>3800000</v>
      </c>
    </row>
    <row r="63" spans="1:6" s="30" customFormat="1" ht="16.5">
      <c r="A63" s="54"/>
      <c r="B63" s="8"/>
      <c r="C63" s="8"/>
      <c r="D63" s="58"/>
    </row>
    <row r="64" spans="1:6" s="30" customFormat="1" ht="18.75" thickBot="1">
      <c r="A64" s="54"/>
      <c r="B64" s="59" t="s">
        <v>78</v>
      </c>
      <c r="C64" s="59"/>
      <c r="D64" s="60">
        <f>D42+D30+D47+D55+D60</f>
        <v>20420544.109999999</v>
      </c>
      <c r="E64" s="60">
        <f>E42+E30+E47+E55+E60</f>
        <v>23559512.827426966</v>
      </c>
      <c r="F64" s="60">
        <f>F42+F30+F47+F55+F60</f>
        <v>24284896.509999998</v>
      </c>
    </row>
    <row r="65" spans="1:7" s="30" customFormat="1" ht="22.5" customHeight="1">
      <c r="A65" s="54"/>
      <c r="B65" s="36"/>
      <c r="C65" s="36"/>
      <c r="D65" s="49"/>
      <c r="E65" s="49"/>
    </row>
    <row r="66" spans="1:7" s="30" customFormat="1" ht="21">
      <c r="A66" s="54"/>
      <c r="B66" s="61" t="s">
        <v>79</v>
      </c>
      <c r="C66" s="36"/>
      <c r="D66" s="62">
        <f>D25-D64</f>
        <v>868975.75</v>
      </c>
      <c r="E66" s="62">
        <f>E25-E64</f>
        <v>-757493.75742696598</v>
      </c>
      <c r="F66" s="62">
        <f>F25-F64</f>
        <v>-685546.59999999776</v>
      </c>
    </row>
    <row r="67" spans="1:7" s="30" customFormat="1" ht="21">
      <c r="A67" s="54"/>
      <c r="B67" s="61"/>
      <c r="C67" s="36"/>
      <c r="D67" s="49"/>
      <c r="E67" s="49"/>
    </row>
    <row r="68" spans="1:7" s="30" customFormat="1" ht="21">
      <c r="A68" s="54"/>
      <c r="B68" s="61" t="s">
        <v>80</v>
      </c>
      <c r="C68" s="36"/>
      <c r="D68" s="49"/>
      <c r="E68" s="49"/>
    </row>
    <row r="69" spans="1:7" s="45" customFormat="1" ht="16.5">
      <c r="A69" s="63"/>
      <c r="B69" s="63"/>
      <c r="C69" s="63"/>
      <c r="D69" s="64"/>
      <c r="E69" s="64"/>
      <c r="F69" s="64"/>
    </row>
    <row r="70" spans="1:7" s="45" customFormat="1" ht="33">
      <c r="A70" s="63"/>
      <c r="C70" s="294" t="s">
        <v>81</v>
      </c>
      <c r="D70" s="252" t="s">
        <v>82</v>
      </c>
      <c r="E70" s="252" t="s">
        <v>83</v>
      </c>
      <c r="F70" s="253" t="s">
        <v>84</v>
      </c>
    </row>
    <row r="71" spans="1:7" s="45" customFormat="1" ht="16.5">
      <c r="A71" s="63"/>
      <c r="C71" s="295" t="s">
        <v>85</v>
      </c>
      <c r="D71" s="240">
        <v>7230181.4964120733</v>
      </c>
      <c r="E71" s="236">
        <f>E66-E74-E73-E72</f>
        <v>-1106829.567426966</v>
      </c>
      <c r="F71" s="237">
        <f>D71+E71</f>
        <v>6123351.9289851077</v>
      </c>
    </row>
    <row r="72" spans="1:7" s="45" customFormat="1" ht="16.5">
      <c r="A72" s="63"/>
      <c r="C72" s="295" t="s">
        <v>86</v>
      </c>
      <c r="D72" s="240">
        <v>146226</v>
      </c>
      <c r="E72" s="236">
        <v>533293.78</v>
      </c>
      <c r="F72" s="237">
        <f>D72+E72</f>
        <v>679519.78</v>
      </c>
    </row>
    <row r="73" spans="1:7" s="45" customFormat="1" ht="16.5">
      <c r="A73" s="63"/>
      <c r="B73" s="25"/>
      <c r="C73" s="295" t="s">
        <v>87</v>
      </c>
      <c r="D73" s="240">
        <v>257534.46</v>
      </c>
      <c r="E73" s="236">
        <v>-183957.97</v>
      </c>
      <c r="F73" s="237">
        <f>D73+E73</f>
        <v>73576.489999999991</v>
      </c>
    </row>
    <row r="74" spans="1:7" s="45" customFormat="1" ht="16.5">
      <c r="A74" s="63"/>
      <c r="C74" s="295" t="s">
        <v>88</v>
      </c>
      <c r="D74" s="240">
        <v>438057.23</v>
      </c>
      <c r="E74" s="238">
        <v>0</v>
      </c>
      <c r="F74" s="237">
        <f>D74+E74</f>
        <v>438057.23</v>
      </c>
    </row>
    <row r="75" spans="1:7" s="45" customFormat="1" ht="16.5">
      <c r="A75" s="63"/>
      <c r="C75" s="294" t="s">
        <v>89</v>
      </c>
      <c r="D75" s="254">
        <f>SUM(D71:D74)</f>
        <v>8071999.1864120737</v>
      </c>
      <c r="E75" s="254">
        <f>SUM(E71:E74)</f>
        <v>-757493.75742696598</v>
      </c>
      <c r="F75" s="255">
        <f>SUM(F71:F74)</f>
        <v>7314505.4289851077</v>
      </c>
    </row>
    <row r="76" spans="1:7" s="45" customFormat="1" ht="16.5">
      <c r="A76" s="63"/>
      <c r="B76" s="63"/>
      <c r="C76" s="66"/>
      <c r="D76" s="64"/>
      <c r="E76" s="64"/>
      <c r="F76" s="65"/>
      <c r="G76" s="65"/>
    </row>
    <row r="77" spans="1:7" ht="17.25">
      <c r="B77" s="30"/>
      <c r="C77" s="15"/>
      <c r="D77" s="40"/>
      <c r="E77" s="40"/>
    </row>
    <row r="78" spans="1:7">
      <c r="B78" s="30"/>
      <c r="C78" s="30"/>
      <c r="G78" s="285"/>
    </row>
    <row r="79" spans="1:7">
      <c r="B79" s="30"/>
      <c r="C79" s="30"/>
    </row>
  </sheetData>
  <sheetProtection sheet="1" objects="1" scenarios="1" formatCells="0" formatColumns="0" formatRows="0" insertColumns="0" insertRows="0" insertHyperlinks="0" deleteColumns="0" deleteRows="0" sort="0" autoFilter="0" pivotTables="0"/>
  <phoneticPr fontId="7"/>
  <pageMargins left="0.39370078740157483" right="0.39370078740157483" top="0.39370078740157483" bottom="0.39370078740157483" header="0.51181102362204722" footer="0.51181102362204722"/>
  <pageSetup paperSize="8" scale="70" orientation="landscape" horizontalDpi="2400" verticalDpi="24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50979-5025-491E-9D96-9EF302F0488C}">
  <sheetPr codeName="Ark2">
    <tabColor theme="2" tint="-9.9978637043366805E-2"/>
    <pageSetUpPr fitToPage="1"/>
  </sheetPr>
  <dimension ref="A1:G71"/>
  <sheetViews>
    <sheetView showGridLines="0" zoomScale="90" zoomScaleNormal="90" workbookViewId="0">
      <selection activeCell="G65" sqref="G65"/>
    </sheetView>
  </sheetViews>
  <sheetFormatPr defaultColWidth="11.42578125" defaultRowHeight="16.5"/>
  <cols>
    <col min="1" max="1" width="11.7109375" style="15" customWidth="1"/>
    <col min="2" max="2" width="5.28515625" style="15" customWidth="1"/>
    <col min="3" max="3" width="71.42578125" style="15" bestFit="1" customWidth="1"/>
    <col min="4" max="4" width="25.28515625" style="15" customWidth="1"/>
    <col min="5" max="5" width="25.28515625" style="346" customWidth="1"/>
    <col min="6" max="6" width="25.28515625" style="15" customWidth="1"/>
    <col min="7" max="7" width="37.85546875" style="15" customWidth="1"/>
    <col min="8" max="16384" width="11.42578125" style="15"/>
  </cols>
  <sheetData>
    <row r="1" spans="1:6" ht="21">
      <c r="A1" s="91" t="s">
        <v>2</v>
      </c>
    </row>
    <row r="3" spans="1:6">
      <c r="A3" s="72" t="s">
        <v>90</v>
      </c>
      <c r="B3" s="22"/>
      <c r="C3" s="22"/>
      <c r="D3" s="95"/>
      <c r="E3" s="359"/>
    </row>
    <row r="4" spans="1:6">
      <c r="A4" s="256">
        <v>99000</v>
      </c>
      <c r="B4" s="256"/>
      <c r="C4" s="257" t="s">
        <v>91</v>
      </c>
      <c r="D4" s="258" t="str">
        <f>'Budsjett 2024'!D$8</f>
        <v>Rekneskap 2023</v>
      </c>
      <c r="E4" s="360" t="str">
        <f>'Budsjett 2024'!E$8</f>
        <v>Reknskap 2024</v>
      </c>
      <c r="F4" s="258" t="str">
        <f>'Budsjett 2024'!F$8</f>
        <v>Budsjett 2024 rev. 2</v>
      </c>
    </row>
    <row r="5" spans="1:6">
      <c r="C5" s="67"/>
      <c r="D5" s="67"/>
      <c r="E5" s="350"/>
      <c r="F5" s="67"/>
    </row>
    <row r="6" spans="1:6">
      <c r="A6" s="15">
        <v>3500</v>
      </c>
      <c r="C6" s="15" t="s">
        <v>92</v>
      </c>
      <c r="D6" s="23">
        <f>960094-24500</f>
        <v>935594</v>
      </c>
      <c r="E6" s="361">
        <f>1177800-12000</f>
        <v>1165800</v>
      </c>
      <c r="F6" s="23">
        <v>1150000</v>
      </c>
    </row>
    <row r="7" spans="1:6" ht="17.25" thickBot="1">
      <c r="C7" s="96" t="s">
        <v>93</v>
      </c>
      <c r="D7" s="97">
        <f>D6</f>
        <v>935594</v>
      </c>
      <c r="E7" s="362">
        <f>E6</f>
        <v>1165800</v>
      </c>
      <c r="F7" s="97">
        <f>F6</f>
        <v>1150000</v>
      </c>
    </row>
    <row r="8" spans="1:6">
      <c r="D8" s="23"/>
      <c r="F8" s="23"/>
    </row>
    <row r="10" spans="1:6">
      <c r="A10" s="223"/>
      <c r="B10" s="224"/>
      <c r="C10" s="225" t="s">
        <v>94</v>
      </c>
      <c r="D10" s="258" t="str">
        <f>'Budsjett 2024'!D$8</f>
        <v>Rekneskap 2023</v>
      </c>
      <c r="E10" s="360" t="str">
        <f>'Budsjett 2024'!E$8</f>
        <v>Reknskap 2024</v>
      </c>
      <c r="F10" s="258" t="str">
        <f>'Budsjett 2024'!F$8</f>
        <v>Budsjett 2024 rev. 2</v>
      </c>
    </row>
    <row r="11" spans="1:6">
      <c r="A11" s="98"/>
      <c r="C11" s="67"/>
      <c r="D11" s="67"/>
      <c r="E11" s="350"/>
      <c r="F11" s="67"/>
    </row>
    <row r="12" spans="1:6">
      <c r="A12" s="15">
        <v>98000</v>
      </c>
      <c r="B12" s="48"/>
      <c r="C12" s="67" t="s">
        <v>95</v>
      </c>
    </row>
    <row r="13" spans="1:6">
      <c r="A13" s="15">
        <v>3300</v>
      </c>
      <c r="C13" s="15" t="s">
        <v>96</v>
      </c>
      <c r="D13" s="23">
        <f>5840000+124931</f>
        <v>5964931</v>
      </c>
      <c r="E13" s="346">
        <v>6219707</v>
      </c>
      <c r="F13" s="38">
        <v>6219707</v>
      </c>
    </row>
    <row r="14" spans="1:6">
      <c r="A14" s="15">
        <v>3300</v>
      </c>
      <c r="C14" s="15" t="s">
        <v>97</v>
      </c>
      <c r="D14" s="23">
        <f>2670000+56217</f>
        <v>2726217</v>
      </c>
      <c r="E14" s="346">
        <v>2500000</v>
      </c>
      <c r="F14" s="38">
        <v>2500000</v>
      </c>
    </row>
    <row r="15" spans="1:6">
      <c r="A15" s="15">
        <v>3450</v>
      </c>
      <c r="B15" s="80"/>
      <c r="C15" s="15" t="s">
        <v>98</v>
      </c>
      <c r="D15" s="23">
        <v>1271996</v>
      </c>
      <c r="E15" s="346">
        <v>1291247</v>
      </c>
      <c r="F15" s="23">
        <v>1291247</v>
      </c>
    </row>
    <row r="16" spans="1:6" ht="17.25" thickBot="1">
      <c r="B16" s="80"/>
      <c r="C16" s="96" t="s">
        <v>93</v>
      </c>
      <c r="D16" s="99">
        <f>SUM(D13:D15)</f>
        <v>9963144</v>
      </c>
      <c r="E16" s="363">
        <f>SUM(E13:E15)</f>
        <v>10010954</v>
      </c>
      <c r="F16" s="99">
        <f>SUM(F13:F15)</f>
        <v>10010954</v>
      </c>
    </row>
    <row r="17" spans="1:7">
      <c r="B17" s="80"/>
      <c r="C17" s="67"/>
      <c r="D17" s="70"/>
      <c r="E17" s="350"/>
      <c r="F17" s="70"/>
    </row>
    <row r="18" spans="1:7">
      <c r="C18" s="67" t="s">
        <v>99</v>
      </c>
      <c r="G18" s="23"/>
    </row>
    <row r="19" spans="1:7">
      <c r="A19" s="15">
        <v>22100</v>
      </c>
      <c r="C19" s="162" t="s">
        <v>100</v>
      </c>
      <c r="D19" s="163">
        <f>Kompetanse!D25</f>
        <v>1134935.29</v>
      </c>
      <c r="E19" s="364">
        <f>Kompetanse!E25</f>
        <v>552319.61</v>
      </c>
      <c r="F19" s="163">
        <f>Kompetanse!F25</f>
        <v>818000</v>
      </c>
    </row>
    <row r="20" spans="1:7">
      <c r="A20" s="15">
        <v>26000</v>
      </c>
      <c r="C20" s="162" t="s">
        <v>101</v>
      </c>
      <c r="D20" s="163">
        <f>Kompetanse!D36+Kompetanse!D37+Kompetanse!D39+Kompetanse!D40</f>
        <v>570000</v>
      </c>
      <c r="E20" s="364">
        <f>Kompetanse!E36+Kompetanse!E37+Kompetanse!E39+Kompetanse!E40</f>
        <v>540000</v>
      </c>
      <c r="F20" s="163">
        <f>Kompetanse!F36+Kompetanse!F37+Kompetanse!F39+Kompetanse!F40</f>
        <v>540000</v>
      </c>
    </row>
    <row r="21" spans="1:7">
      <c r="A21" s="15">
        <v>60200</v>
      </c>
      <c r="C21" s="162" t="s">
        <v>102</v>
      </c>
      <c r="D21" s="163">
        <f>Kompetanse!D70</f>
        <v>603422.82999999996</v>
      </c>
      <c r="E21" s="364">
        <f>Kompetanse!E70</f>
        <v>605557.39</v>
      </c>
      <c r="F21" s="163">
        <f>Kompetanse!F70</f>
        <v>605557.39</v>
      </c>
    </row>
    <row r="22" spans="1:7">
      <c r="A22" s="15">
        <v>26900</v>
      </c>
      <c r="C22" s="162" t="s">
        <v>103</v>
      </c>
      <c r="D22" s="163">
        <f>Kompetanse!D87</f>
        <v>213281.15</v>
      </c>
      <c r="E22" s="364">
        <f>Kompetanse!E87</f>
        <v>404566.85</v>
      </c>
      <c r="F22" s="163">
        <f>Kompetanse!F87</f>
        <v>406718.85</v>
      </c>
    </row>
    <row r="23" spans="1:7">
      <c r="A23" s="15">
        <v>26500</v>
      </c>
      <c r="C23" s="162" t="s">
        <v>104</v>
      </c>
      <c r="D23" s="163">
        <f>Kompetanse!D130</f>
        <v>90124.840000000026</v>
      </c>
      <c r="E23" s="364">
        <f>Kompetanse!E130</f>
        <v>0</v>
      </c>
      <c r="F23" s="163">
        <f>Kompetanse!F130</f>
        <v>0</v>
      </c>
      <c r="G23" s="15" t="s">
        <v>105</v>
      </c>
    </row>
    <row r="24" spans="1:7">
      <c r="A24" s="15">
        <v>27000</v>
      </c>
      <c r="C24" s="162" t="s">
        <v>106</v>
      </c>
      <c r="D24" s="163">
        <f>Kompetanse!D141</f>
        <v>115655</v>
      </c>
      <c r="E24" s="364">
        <f>Kompetanse!E141</f>
        <v>0</v>
      </c>
      <c r="F24" s="163">
        <f>Kompetanse!F141</f>
        <v>0</v>
      </c>
      <c r="G24" s="15" t="s">
        <v>105</v>
      </c>
    </row>
    <row r="25" spans="1:7">
      <c r="A25" s="15">
        <v>48000</v>
      </c>
      <c r="C25" s="106" t="s">
        <v>107</v>
      </c>
      <c r="D25" s="107">
        <f>Politikk!D21</f>
        <v>373571</v>
      </c>
      <c r="E25" s="365">
        <f>SUM(Politikk!E15:E20)</f>
        <v>361949</v>
      </c>
      <c r="F25" s="107">
        <f>SUM(Politikk!F15:F20)</f>
        <v>330000</v>
      </c>
    </row>
    <row r="26" spans="1:7" ht="17.25" thickBot="1">
      <c r="C26" s="96" t="s">
        <v>93</v>
      </c>
      <c r="D26" s="97">
        <f>SUM(D19:D25)</f>
        <v>3100990.11</v>
      </c>
      <c r="E26" s="362">
        <f>SUM(E19:E25)</f>
        <v>2464392.85</v>
      </c>
      <c r="F26" s="97">
        <f>SUM(F19:F25)</f>
        <v>2700276.24</v>
      </c>
    </row>
    <row r="27" spans="1:7">
      <c r="C27" s="67"/>
      <c r="D27" s="68"/>
      <c r="E27" s="354"/>
      <c r="F27" s="68"/>
    </row>
    <row r="28" spans="1:7">
      <c r="B28" s="48"/>
      <c r="C28" s="67" t="s">
        <v>108</v>
      </c>
    </row>
    <row r="29" spans="1:7">
      <c r="A29" s="15">
        <v>23000</v>
      </c>
      <c r="B29" s="48"/>
      <c r="C29" s="117" t="s">
        <v>109</v>
      </c>
      <c r="D29" s="164">
        <f>Forvaltning!D10</f>
        <v>4536404.72</v>
      </c>
      <c r="E29" s="366">
        <f>Forvaltning!E10</f>
        <v>5000000</v>
      </c>
      <c r="F29" s="164">
        <f>Forvaltning!F10</f>
        <v>5000000</v>
      </c>
    </row>
    <row r="30" spans="1:7">
      <c r="A30" s="15">
        <v>25000</v>
      </c>
      <c r="B30" s="48"/>
      <c r="C30" s="117" t="s">
        <v>110</v>
      </c>
      <c r="D30" s="164">
        <f>Forvaltning!D25</f>
        <v>635504.27</v>
      </c>
      <c r="E30" s="366">
        <f>Forvaltning!E25</f>
        <v>664495.73</v>
      </c>
      <c r="F30" s="164">
        <f>Forvaltning!F25</f>
        <v>664495.73</v>
      </c>
    </row>
    <row r="31" spans="1:7">
      <c r="A31" s="15">
        <v>24000</v>
      </c>
      <c r="B31" s="48"/>
      <c r="C31" s="117" t="s">
        <v>111</v>
      </c>
      <c r="D31" s="164">
        <f>Forvaltning!D39</f>
        <v>435587.91000000003</v>
      </c>
      <c r="E31" s="366">
        <f>Forvaltning!E39</f>
        <v>500000</v>
      </c>
      <c r="F31" s="164">
        <f>Forvaltning!F39</f>
        <v>500000</v>
      </c>
    </row>
    <row r="32" spans="1:7">
      <c r="A32" s="80" t="s">
        <v>112</v>
      </c>
      <c r="B32" s="80"/>
      <c r="C32" s="117" t="s">
        <v>113</v>
      </c>
      <c r="D32" s="118">
        <f>Forvaltning!D53</f>
        <v>500000</v>
      </c>
      <c r="E32" s="367">
        <f>Forvaltning!E53</f>
        <v>600000</v>
      </c>
      <c r="F32" s="118">
        <f>Forvaltning!F53</f>
        <v>600000</v>
      </c>
    </row>
    <row r="33" spans="1:7">
      <c r="A33" s="80" t="s">
        <v>114</v>
      </c>
      <c r="B33" s="80"/>
      <c r="C33" s="117" t="s">
        <v>115</v>
      </c>
      <c r="D33" s="118">
        <f>Forvaltning!D66</f>
        <v>245952.83000000002</v>
      </c>
      <c r="E33" s="367">
        <f>Forvaltning!E66</f>
        <v>333000</v>
      </c>
      <c r="F33" s="118">
        <f>Forvaltning!F66</f>
        <v>333000</v>
      </c>
    </row>
    <row r="34" spans="1:7" ht="17.25" thickBot="1">
      <c r="B34" s="93"/>
      <c r="C34" s="96" t="s">
        <v>93</v>
      </c>
      <c r="D34" s="97">
        <f>SUM(D29:D33)</f>
        <v>6353449.7300000004</v>
      </c>
      <c r="E34" s="362">
        <f>SUM(E29:E33)</f>
        <v>7097495.7300000004</v>
      </c>
      <c r="F34" s="97">
        <f>SUM(F29:F33)</f>
        <v>7097495.7300000004</v>
      </c>
    </row>
    <row r="35" spans="1:7">
      <c r="B35" s="93"/>
      <c r="C35" s="67"/>
      <c r="D35" s="92"/>
      <c r="E35" s="368"/>
      <c r="F35" s="92"/>
    </row>
    <row r="36" spans="1:7">
      <c r="B36" s="93"/>
      <c r="C36" s="67" t="s">
        <v>116</v>
      </c>
    </row>
    <row r="37" spans="1:7">
      <c r="A37" s="15">
        <v>26000</v>
      </c>
      <c r="C37" s="162" t="s">
        <v>117</v>
      </c>
      <c r="D37" s="163">
        <f>Kompetanse!D38</f>
        <v>0</v>
      </c>
      <c r="E37" s="364">
        <f>Kompetanse!E38</f>
        <v>113400</v>
      </c>
      <c r="F37" s="163">
        <f>Kompetanse!F38</f>
        <v>113400</v>
      </c>
    </row>
    <row r="38" spans="1:7">
      <c r="A38" s="71" t="s">
        <v>118</v>
      </c>
      <c r="C38" s="162" t="s">
        <v>119</v>
      </c>
      <c r="D38" s="163">
        <f>Kompetanse!D56</f>
        <v>0</v>
      </c>
      <c r="E38" s="364">
        <f>Kompetanse!E56</f>
        <v>170996</v>
      </c>
      <c r="F38" s="163">
        <f>Kompetanse!F56</f>
        <v>180000</v>
      </c>
    </row>
    <row r="39" spans="1:7">
      <c r="A39" s="15">
        <v>28400</v>
      </c>
      <c r="C39" s="162" t="s">
        <v>120</v>
      </c>
      <c r="D39" s="163">
        <f>Kompetanse!D98</f>
        <v>0</v>
      </c>
      <c r="E39" s="364">
        <f>Kompetanse!E98</f>
        <v>350000</v>
      </c>
      <c r="F39" s="163">
        <f>Kompetanse!F98</f>
        <v>350000</v>
      </c>
    </row>
    <row r="40" spans="1:7">
      <c r="A40" s="15">
        <v>41000</v>
      </c>
      <c r="C40" s="162" t="s">
        <v>121</v>
      </c>
      <c r="D40" s="163">
        <f>Kompetanse!D115</f>
        <v>209549.2</v>
      </c>
      <c r="E40" s="364">
        <f>Kompetanse!E115</f>
        <v>73412.100000000006</v>
      </c>
      <c r="F40" s="163">
        <f>Kompetanse!F115</f>
        <v>73412.100000000006</v>
      </c>
    </row>
    <row r="41" spans="1:7">
      <c r="A41" s="15">
        <v>49900</v>
      </c>
      <c r="C41" s="106" t="s">
        <v>122</v>
      </c>
      <c r="D41" s="107">
        <f>Politikk!D36</f>
        <v>64327.660000000033</v>
      </c>
      <c r="E41" s="365">
        <f>Politikk!E36</f>
        <v>453363.33999999997</v>
      </c>
      <c r="F41" s="107">
        <f>Politikk!F36</f>
        <v>1063811.8400000001</v>
      </c>
    </row>
    <row r="42" spans="1:7">
      <c r="A42" s="71">
        <v>61500</v>
      </c>
      <c r="C42" s="117" t="s">
        <v>123</v>
      </c>
      <c r="D42" s="164">
        <f>Forvaltning!D79</f>
        <v>0</v>
      </c>
      <c r="E42" s="366">
        <f>Forvaltning!E79</f>
        <v>276944.46999999997</v>
      </c>
      <c r="F42" s="164">
        <f>Forvaltning!F79</f>
        <v>300000</v>
      </c>
    </row>
    <row r="43" spans="1:7">
      <c r="A43" s="15">
        <v>26700</v>
      </c>
      <c r="C43" s="203" t="s">
        <v>124</v>
      </c>
      <c r="D43" s="204">
        <f>Kommunikasjon!D20</f>
        <v>-5619.93</v>
      </c>
      <c r="E43" s="369">
        <f>Kommunikasjon!E20</f>
        <v>0</v>
      </c>
      <c r="F43" s="204">
        <f>Kommunikasjon!F20</f>
        <v>0</v>
      </c>
      <c r="G43" s="15" t="s">
        <v>125</v>
      </c>
    </row>
    <row r="44" spans="1:7" ht="17.25" thickBot="1">
      <c r="B44" s="93"/>
      <c r="C44" s="96" t="s">
        <v>93</v>
      </c>
      <c r="D44" s="97">
        <f>SUM(D37:D43)</f>
        <v>268256.93000000005</v>
      </c>
      <c r="E44" s="362">
        <f>SUM(E37:E43)</f>
        <v>1438115.91</v>
      </c>
      <c r="F44" s="97">
        <f>SUM(F37:F43)</f>
        <v>2080623.94</v>
      </c>
    </row>
    <row r="45" spans="1:7">
      <c r="B45" s="93"/>
      <c r="C45" s="67"/>
      <c r="D45" s="92"/>
      <c r="E45" s="368"/>
      <c r="F45" s="92"/>
    </row>
    <row r="46" spans="1:7">
      <c r="B46" s="93"/>
      <c r="C46" s="67"/>
      <c r="D46" s="92"/>
      <c r="E46" s="368"/>
      <c r="F46" s="92"/>
    </row>
    <row r="47" spans="1:7">
      <c r="A47" s="225"/>
      <c r="B47" s="224"/>
      <c r="C47" s="225" t="s">
        <v>126</v>
      </c>
      <c r="D47" s="258" t="str">
        <f>'Budsjett 2024'!D$8</f>
        <v>Rekneskap 2023</v>
      </c>
      <c r="E47" s="360" t="str">
        <f>'Budsjett 2024'!E$8</f>
        <v>Reknskap 2024</v>
      </c>
      <c r="F47" s="258" t="str">
        <f>'Budsjett 2024'!F$8</f>
        <v>Budsjett 2024 rev. 2</v>
      </c>
    </row>
    <row r="48" spans="1:7">
      <c r="A48" s="67"/>
      <c r="D48" s="68"/>
      <c r="E48" s="354"/>
      <c r="F48" s="68"/>
    </row>
    <row r="49" spans="1:7">
      <c r="C49" s="67" t="s">
        <v>127</v>
      </c>
      <c r="D49" s="68"/>
      <c r="E49" s="354"/>
      <c r="F49" s="68"/>
    </row>
    <row r="50" spans="1:7">
      <c r="A50" s="15">
        <v>20200</v>
      </c>
      <c r="C50" s="103" t="s">
        <v>128</v>
      </c>
      <c r="D50" s="104">
        <f>Kompetanse!D6</f>
        <v>14496</v>
      </c>
      <c r="E50" s="370">
        <f>Kompetanse!E6</f>
        <v>60382.93</v>
      </c>
      <c r="F50" s="104">
        <f>Kompetanse!F6</f>
        <v>15000</v>
      </c>
    </row>
    <row r="51" spans="1:7">
      <c r="A51" s="15">
        <v>20250</v>
      </c>
      <c r="C51" s="103" t="s">
        <v>129</v>
      </c>
      <c r="D51" s="104">
        <f>Kompetanse!D7</f>
        <v>60525.75</v>
      </c>
      <c r="E51" s="370">
        <f>Kompetanse!E7</f>
        <v>40180.870000000003</v>
      </c>
      <c r="F51" s="104">
        <f>Kompetanse!F7</f>
        <v>60000</v>
      </c>
    </row>
    <row r="52" spans="1:7" ht="17.25" thickBot="1">
      <c r="B52" s="93"/>
      <c r="C52" s="96" t="s">
        <v>93</v>
      </c>
      <c r="D52" s="97">
        <f>SUM(D50:D51)</f>
        <v>75021.75</v>
      </c>
      <c r="E52" s="362">
        <f>SUM(E50:E51)</f>
        <v>100563.8</v>
      </c>
      <c r="F52" s="97">
        <f>SUM(F50:F51)</f>
        <v>75000</v>
      </c>
    </row>
    <row r="53" spans="1:7">
      <c r="B53" s="93"/>
      <c r="D53" s="38"/>
      <c r="E53" s="349"/>
      <c r="F53" s="92"/>
    </row>
    <row r="54" spans="1:7">
      <c r="B54" s="93"/>
      <c r="C54" s="67" t="s">
        <v>130</v>
      </c>
      <c r="D54" s="38"/>
      <c r="E54" s="349"/>
      <c r="F54" s="92"/>
    </row>
    <row r="55" spans="1:7">
      <c r="A55" s="15">
        <v>20300</v>
      </c>
      <c r="C55" s="103" t="s">
        <v>131</v>
      </c>
      <c r="D55" s="104">
        <f>Kompetanse!D8</f>
        <v>201230</v>
      </c>
      <c r="E55" s="370">
        <f>Kompetanse!E8</f>
        <v>7000</v>
      </c>
      <c r="F55" s="104">
        <f>Kompetanse!F8</f>
        <v>10000</v>
      </c>
    </row>
    <row r="56" spans="1:7" ht="17.25" thickBot="1">
      <c r="B56" s="93"/>
      <c r="C56" s="96" t="s">
        <v>93</v>
      </c>
      <c r="D56" s="97">
        <f>D55</f>
        <v>201230</v>
      </c>
      <c r="E56" s="362">
        <f>E55</f>
        <v>7000</v>
      </c>
      <c r="F56" s="97">
        <f>F55</f>
        <v>10000</v>
      </c>
    </row>
    <row r="57" spans="1:7">
      <c r="B57" s="93"/>
      <c r="D57" s="38"/>
      <c r="E57" s="349"/>
      <c r="F57" s="92"/>
    </row>
    <row r="58" spans="1:7">
      <c r="B58" s="93"/>
      <c r="C58" s="67"/>
    </row>
    <row r="59" spans="1:7">
      <c r="A59" s="224">
        <v>97200</v>
      </c>
      <c r="B59" s="224"/>
      <c r="C59" s="225" t="s">
        <v>132</v>
      </c>
      <c r="D59" s="258" t="str">
        <f>'Budsjett 2024'!D$8</f>
        <v>Rekneskap 2023</v>
      </c>
      <c r="E59" s="360" t="str">
        <f>'Budsjett 2024'!E$8</f>
        <v>Reknskap 2024</v>
      </c>
      <c r="F59" s="258" t="str">
        <f>'Budsjett 2024'!F$8</f>
        <v>Budsjett 2024 rev. 2</v>
      </c>
    </row>
    <row r="60" spans="1:7">
      <c r="C60" s="67"/>
      <c r="D60" s="68"/>
      <c r="E60" s="354"/>
      <c r="F60" s="68"/>
    </row>
    <row r="61" spans="1:7">
      <c r="A61" s="15">
        <v>8051</v>
      </c>
      <c r="C61" s="15" t="s">
        <v>133</v>
      </c>
      <c r="D61" s="38">
        <v>175678.86</v>
      </c>
      <c r="E61" s="356">
        <v>300540.74</v>
      </c>
      <c r="F61" s="24">
        <v>250000</v>
      </c>
    </row>
    <row r="62" spans="1:7">
      <c r="A62" s="15">
        <v>8079</v>
      </c>
      <c r="C62" s="15" t="s">
        <v>134</v>
      </c>
      <c r="D62" s="38">
        <v>133363.85999999999</v>
      </c>
      <c r="E62" s="356">
        <v>154874.76999999999</v>
      </c>
      <c r="F62" s="24">
        <v>150000</v>
      </c>
    </row>
    <row r="63" spans="1:7">
      <c r="A63" s="15">
        <v>8079</v>
      </c>
      <c r="C63" s="15" t="s">
        <v>135</v>
      </c>
      <c r="D63" s="38">
        <v>56096.17</v>
      </c>
      <c r="E63" s="356">
        <v>57007.27</v>
      </c>
      <c r="F63" s="24">
        <v>55000</v>
      </c>
    </row>
    <row r="64" spans="1:7">
      <c r="A64" s="15">
        <v>8079</v>
      </c>
      <c r="C64" s="15" t="s">
        <v>136</v>
      </c>
      <c r="D64" s="38">
        <f>5170+21524.45</f>
        <v>26694.45</v>
      </c>
      <c r="E64" s="356">
        <v>5274</v>
      </c>
      <c r="F64" s="24">
        <v>10000</v>
      </c>
      <c r="G64" s="15" t="s">
        <v>137</v>
      </c>
    </row>
    <row r="65" spans="1:6" ht="17.25" thickBot="1">
      <c r="C65" s="96" t="s">
        <v>93</v>
      </c>
      <c r="D65" s="97">
        <f>SUM(D61:D64)</f>
        <v>391833.33999999997</v>
      </c>
      <c r="E65" s="362">
        <f>SUM(E61:E64)</f>
        <v>517696.78</v>
      </c>
      <c r="F65" s="97">
        <f>SUM(F61:F64)</f>
        <v>465000</v>
      </c>
    </row>
    <row r="66" spans="1:6">
      <c r="D66" s="38"/>
      <c r="E66" s="349"/>
      <c r="F66" s="24"/>
    </row>
    <row r="67" spans="1:6">
      <c r="B67" s="93"/>
      <c r="C67" s="67"/>
    </row>
    <row r="68" spans="1:6">
      <c r="A68" s="257"/>
      <c r="B68" s="257"/>
      <c r="C68" s="257" t="s">
        <v>138</v>
      </c>
      <c r="D68" s="258" t="str">
        <f>'Budsjett 2024'!D$8</f>
        <v>Rekneskap 2023</v>
      </c>
      <c r="E68" s="360" t="str">
        <f>'Budsjett 2024'!E$8</f>
        <v>Reknskap 2024</v>
      </c>
      <c r="F68" s="258" t="str">
        <f>'Budsjett 2024'!F$8</f>
        <v>Budsjett 2024 rev. 2</v>
      </c>
    </row>
    <row r="69" spans="1:6">
      <c r="A69" s="67"/>
      <c r="B69" s="67"/>
      <c r="C69" s="67"/>
      <c r="D69" s="68"/>
      <c r="E69" s="354"/>
      <c r="F69" s="68"/>
    </row>
    <row r="70" spans="1:6">
      <c r="A70" s="80" t="s">
        <v>139</v>
      </c>
      <c r="C70" s="15" t="s">
        <v>140</v>
      </c>
      <c r="D70" s="38">
        <v>0</v>
      </c>
      <c r="E70" s="349">
        <v>0</v>
      </c>
      <c r="F70" s="38">
        <v>10000</v>
      </c>
    </row>
    <row r="71" spans="1:6" ht="17.25" thickBot="1">
      <c r="C71" s="96" t="s">
        <v>93</v>
      </c>
      <c r="D71" s="97">
        <f>SUM(D70:D70)</f>
        <v>0</v>
      </c>
      <c r="E71" s="362">
        <f>SUM(E70:E70)</f>
        <v>0</v>
      </c>
      <c r="F71" s="97">
        <f>SUM(F70:F70)</f>
        <v>10000</v>
      </c>
    </row>
  </sheetData>
  <sheetProtection algorithmName="SHA-512" hashValue="Yy74mT//fB/1BmH8/WLPWFqQZPoe5lMyFhxjxFrUICYiW3Tptp9btvwB0r3l/gpuc9NnHEozOH9qNPQUQG7zzg==" saltValue="CvVgETDLWP5Vq4nr+0B17g==" spinCount="100000" sheet="1" formatCells="0" formatColumns="0" formatRows="0" insertColumns="0" insertRows="0" insertHyperlinks="0" deleteColumns="0" deleteRows="0" sort="0" autoFilter="0" pivotTables="0"/>
  <phoneticPr fontId="7" type="noConversion"/>
  <pageMargins left="0.7" right="0.7" top="0.75" bottom="0.75" header="0.3" footer="0.3"/>
  <pageSetup paperSize="9" scale="48" orientation="landscape" r:id="rId1"/>
  <ignoredErrors>
    <ignoredError sqref="A7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6E14C-74DA-4FA7-96E7-A80429610F65}">
  <sheetPr codeName="Ark3">
    <tabColor theme="6" tint="0.59999389629810485"/>
    <pageSetUpPr fitToPage="1"/>
  </sheetPr>
  <dimension ref="A1:K149"/>
  <sheetViews>
    <sheetView showGridLines="0" topLeftCell="A72" zoomScale="81" zoomScaleNormal="100" workbookViewId="0">
      <selection activeCell="G89" sqref="G89"/>
    </sheetView>
  </sheetViews>
  <sheetFormatPr defaultColWidth="11.42578125" defaultRowHeight="17.25"/>
  <cols>
    <col min="1" max="1" width="11.7109375" style="2" customWidth="1"/>
    <col min="2" max="2" width="5.28515625" style="2" customWidth="1"/>
    <col min="3" max="3" width="65.85546875" style="2" bestFit="1" customWidth="1"/>
    <col min="4" max="4" width="25.28515625" style="2" customWidth="1"/>
    <col min="5" max="5" width="17.5703125" style="345" bestFit="1" customWidth="1"/>
    <col min="6" max="6" width="25.28515625" style="2" customWidth="1"/>
    <col min="7" max="7" width="42" style="15" customWidth="1"/>
    <col min="8" max="16384" width="11.42578125" style="2"/>
  </cols>
  <sheetData>
    <row r="1" spans="1:7" ht="21">
      <c r="A1" s="91" t="s">
        <v>26</v>
      </c>
      <c r="B1" s="91"/>
    </row>
    <row r="3" spans="1:7">
      <c r="A3" s="72" t="s">
        <v>90</v>
      </c>
      <c r="B3" s="72"/>
      <c r="D3" s="15"/>
      <c r="E3" s="346"/>
      <c r="F3" s="3"/>
    </row>
    <row r="4" spans="1:7">
      <c r="A4" s="299"/>
      <c r="B4" s="299"/>
      <c r="C4" s="300" t="s">
        <v>141</v>
      </c>
      <c r="D4" s="293" t="str">
        <f>'Budsjett 2024'!D$8</f>
        <v>Rekneskap 2023</v>
      </c>
      <c r="E4" s="347" t="str">
        <f>'Budsjett 2024'!E$8</f>
        <v>Reknskap 2024</v>
      </c>
      <c r="F4" s="293" t="str">
        <f>'Budsjett 2024'!F$8</f>
        <v>Budsjett 2024 rev. 2</v>
      </c>
    </row>
    <row r="5" spans="1:7">
      <c r="A5" s="15"/>
      <c r="B5" s="15"/>
      <c r="C5" s="67" t="s">
        <v>142</v>
      </c>
      <c r="D5" s="23"/>
      <c r="E5" s="346"/>
      <c r="F5" s="23"/>
    </row>
    <row r="6" spans="1:7">
      <c r="A6" s="111" t="s">
        <v>143</v>
      </c>
      <c r="B6" s="73"/>
      <c r="C6" s="17" t="s">
        <v>144</v>
      </c>
      <c r="D6" s="38">
        <f>14496</f>
        <v>14496</v>
      </c>
      <c r="E6" s="348">
        <v>60382.93</v>
      </c>
      <c r="F6" s="38">
        <v>15000</v>
      </c>
      <c r="G6" s="15" t="s">
        <v>145</v>
      </c>
    </row>
    <row r="7" spans="1:7">
      <c r="A7" s="111" t="s">
        <v>146</v>
      </c>
      <c r="B7" s="73"/>
      <c r="C7" s="17" t="s">
        <v>147</v>
      </c>
      <c r="D7" s="38">
        <v>60525.75</v>
      </c>
      <c r="E7" s="349">
        <v>40180.870000000003</v>
      </c>
      <c r="F7" s="38">
        <v>60000</v>
      </c>
      <c r="G7" s="15" t="s">
        <v>148</v>
      </c>
    </row>
    <row r="8" spans="1:7">
      <c r="A8" s="111" t="s">
        <v>149</v>
      </c>
      <c r="B8" s="73"/>
      <c r="C8" s="17" t="s">
        <v>150</v>
      </c>
      <c r="D8" s="38">
        <f>198500+2730</f>
        <v>201230</v>
      </c>
      <c r="E8" s="349">
        <v>7000</v>
      </c>
      <c r="F8" s="38">
        <v>10000</v>
      </c>
    </row>
    <row r="9" spans="1:7">
      <c r="A9" s="32"/>
      <c r="B9" s="15"/>
      <c r="C9" s="67"/>
      <c r="D9" s="70">
        <f>SUM(D6:D8)</f>
        <v>276251.75</v>
      </c>
      <c r="E9" s="350">
        <f>SUM(E6:E8)</f>
        <v>107563.8</v>
      </c>
      <c r="F9" s="70">
        <f>SUM(F6:F8)</f>
        <v>85000</v>
      </c>
    </row>
    <row r="10" spans="1:7">
      <c r="A10" s="32"/>
      <c r="B10" s="15"/>
      <c r="C10" s="67" t="s">
        <v>151</v>
      </c>
      <c r="D10" s="23"/>
      <c r="E10" s="346"/>
      <c r="F10" s="23"/>
    </row>
    <row r="11" spans="1:7">
      <c r="A11" s="32">
        <v>20200</v>
      </c>
      <c r="B11" s="15"/>
      <c r="C11" s="15" t="s">
        <v>152</v>
      </c>
      <c r="D11" s="23">
        <v>24366.36</v>
      </c>
      <c r="E11" s="346">
        <v>85488.08</v>
      </c>
      <c r="F11" s="23">
        <v>30000</v>
      </c>
      <c r="G11" s="15" t="s">
        <v>153</v>
      </c>
    </row>
    <row r="12" spans="1:7">
      <c r="A12" s="32">
        <v>20250</v>
      </c>
      <c r="B12" s="15"/>
      <c r="C12" s="15" t="s">
        <v>154</v>
      </c>
      <c r="D12" s="23">
        <v>48977.72</v>
      </c>
      <c r="E12" s="346">
        <v>52400.82</v>
      </c>
      <c r="F12" s="23">
        <v>80000</v>
      </c>
      <c r="G12" s="15" t="s">
        <v>148</v>
      </c>
    </row>
    <row r="13" spans="1:7">
      <c r="A13" s="32">
        <v>20300</v>
      </c>
      <c r="B13" s="15"/>
      <c r="C13" s="15" t="s">
        <v>155</v>
      </c>
      <c r="D13" s="23">
        <v>1884.07</v>
      </c>
      <c r="E13" s="346">
        <v>15871.95</v>
      </c>
      <c r="F13" s="23">
        <v>5000</v>
      </c>
      <c r="G13" s="15" t="s">
        <v>156</v>
      </c>
    </row>
    <row r="14" spans="1:7">
      <c r="A14" s="32">
        <v>5003</v>
      </c>
      <c r="B14" s="15"/>
      <c r="C14" s="102" t="s">
        <v>157</v>
      </c>
      <c r="D14" s="110">
        <f>707264.2-3400.25-124255.85</f>
        <v>579608.1</v>
      </c>
      <c r="E14" s="351">
        <v>1069001.4672246112</v>
      </c>
      <c r="F14" s="110">
        <v>1335000</v>
      </c>
    </row>
    <row r="15" spans="1:7">
      <c r="A15" s="32">
        <v>6990</v>
      </c>
      <c r="B15" s="15"/>
      <c r="C15" s="102" t="s">
        <v>158</v>
      </c>
      <c r="D15" s="110">
        <f>226012.21-1221.19-45436.12-1254.19</f>
        <v>178100.71</v>
      </c>
      <c r="E15" s="351">
        <v>431526.32</v>
      </c>
      <c r="F15" s="110">
        <v>501000</v>
      </c>
      <c r="G15" s="312"/>
    </row>
    <row r="16" spans="1:7">
      <c r="A16" s="34"/>
      <c r="B16" s="34"/>
      <c r="C16" s="34"/>
      <c r="D16" s="70">
        <f>SUM(D11:D15)</f>
        <v>832936.95999999996</v>
      </c>
      <c r="E16" s="350">
        <f>SUM(E11:E15)</f>
        <v>1654288.6372246114</v>
      </c>
      <c r="F16" s="70">
        <f>SUM(F11:F15)</f>
        <v>1951000</v>
      </c>
      <c r="G16" s="311"/>
    </row>
    <row r="17" spans="1:10" ht="18" thickBot="1">
      <c r="A17" s="67"/>
      <c r="B17" s="67"/>
      <c r="C17" s="100" t="s">
        <v>93</v>
      </c>
      <c r="D17" s="101">
        <f>D9-D16</f>
        <v>-556685.21</v>
      </c>
      <c r="E17" s="352">
        <f>E9-E16</f>
        <v>-1546724.8372246113</v>
      </c>
      <c r="F17" s="101">
        <f>F9-F16</f>
        <v>-1866000</v>
      </c>
      <c r="G17" s="311"/>
    </row>
    <row r="18" spans="1:10">
      <c r="A18" s="34"/>
      <c r="B18" s="34"/>
      <c r="C18" s="34"/>
      <c r="D18" s="35"/>
      <c r="E18" s="353"/>
      <c r="F18" s="35"/>
      <c r="G18" s="311"/>
    </row>
    <row r="19" spans="1:10">
      <c r="A19" s="34"/>
      <c r="B19" s="34"/>
      <c r="C19" s="34"/>
      <c r="D19" s="35"/>
      <c r="E19" s="353"/>
      <c r="F19" s="35"/>
      <c r="G19" s="311"/>
    </row>
    <row r="20" spans="1:10">
      <c r="A20" s="300">
        <v>22100</v>
      </c>
      <c r="B20" s="300"/>
      <c r="C20" s="300" t="s">
        <v>159</v>
      </c>
      <c r="D20" s="293" t="str">
        <f>'Budsjett 2024'!D$8</f>
        <v>Rekneskap 2023</v>
      </c>
      <c r="E20" s="347" t="str">
        <f>'Budsjett 2024'!E$8</f>
        <v>Reknskap 2024</v>
      </c>
      <c r="F20" s="293" t="str">
        <f>'Budsjett 2024'!F$8</f>
        <v>Budsjett 2024 rev. 2</v>
      </c>
      <c r="G20" s="311"/>
      <c r="H20" s="20"/>
    </row>
    <row r="21" spans="1:10">
      <c r="A21" s="15"/>
      <c r="B21" s="15"/>
      <c r="C21" s="67" t="s">
        <v>142</v>
      </c>
      <c r="D21" s="68"/>
      <c r="E21" s="354"/>
      <c r="F21" s="68"/>
      <c r="G21" s="311"/>
      <c r="H21" s="20"/>
    </row>
    <row r="22" spans="1:10">
      <c r="A22" s="32">
        <v>3400</v>
      </c>
      <c r="B22" s="15"/>
      <c r="C22" s="15" t="s">
        <v>160</v>
      </c>
      <c r="D22" s="23">
        <v>818000</v>
      </c>
      <c r="E22" s="346">
        <v>818000</v>
      </c>
      <c r="F22" s="23">
        <v>818000</v>
      </c>
      <c r="G22" s="311"/>
      <c r="H22" s="20"/>
    </row>
    <row r="23" spans="1:10">
      <c r="A23" s="229">
        <v>3700</v>
      </c>
      <c r="B23" s="71"/>
      <c r="C23" s="15" t="s">
        <v>161</v>
      </c>
      <c r="D23" s="23">
        <v>316935.28999999998</v>
      </c>
      <c r="E23" s="346">
        <v>0</v>
      </c>
      <c r="F23" s="23">
        <v>0</v>
      </c>
      <c r="G23" s="311"/>
      <c r="H23" s="20"/>
    </row>
    <row r="24" spans="1:10">
      <c r="A24" s="229">
        <v>3401</v>
      </c>
      <c r="B24" s="71"/>
      <c r="C24" s="15" t="s">
        <v>162</v>
      </c>
      <c r="D24" s="23">
        <v>0</v>
      </c>
      <c r="E24" s="355">
        <v>-265680.39</v>
      </c>
      <c r="F24" s="23">
        <v>0</v>
      </c>
      <c r="G24" s="311" t="s">
        <v>163</v>
      </c>
      <c r="H24" s="20"/>
    </row>
    <row r="25" spans="1:10">
      <c r="A25" s="32"/>
      <c r="B25" s="15"/>
      <c r="C25" s="67"/>
      <c r="D25" s="68">
        <f>SUM(D22:D24)</f>
        <v>1134935.29</v>
      </c>
      <c r="E25" s="354">
        <f>SUM(E22:E24)</f>
        <v>552319.61</v>
      </c>
      <c r="F25" s="68">
        <f>SUM(F22:F24)</f>
        <v>818000</v>
      </c>
      <c r="G25" s="311"/>
      <c r="H25" s="20"/>
    </row>
    <row r="26" spans="1:10">
      <c r="A26" s="32"/>
      <c r="B26" s="15"/>
      <c r="C26" s="67" t="s">
        <v>151</v>
      </c>
      <c r="D26" s="68"/>
      <c r="E26" s="354"/>
      <c r="F26" s="68"/>
      <c r="G26" s="311"/>
      <c r="H26" s="20"/>
    </row>
    <row r="27" spans="1:10">
      <c r="A27" s="32"/>
      <c r="B27" s="15"/>
      <c r="C27" s="15" t="s">
        <v>164</v>
      </c>
      <c r="D27" s="23">
        <v>492933.23</v>
      </c>
      <c r="E27" s="346">
        <f>94153.77+5350</f>
        <v>99503.77</v>
      </c>
      <c r="F27" s="23">
        <v>92000</v>
      </c>
      <c r="G27" s="311"/>
      <c r="H27" s="26"/>
      <c r="J27" s="26"/>
    </row>
    <row r="28" spans="1:10">
      <c r="A28" s="32">
        <v>5003</v>
      </c>
      <c r="B28" s="15"/>
      <c r="C28" s="102" t="s">
        <v>157</v>
      </c>
      <c r="D28" s="110">
        <f>558266.53+2684.41+357.92+15358.39</f>
        <v>576667.25000000012</v>
      </c>
      <c r="E28" s="351">
        <v>325539.62</v>
      </c>
      <c r="F28" s="110">
        <v>528000</v>
      </c>
      <c r="G28" s="311"/>
    </row>
    <row r="29" spans="1:10">
      <c r="A29" s="32">
        <v>6990</v>
      </c>
      <c r="B29" s="15"/>
      <c r="C29" s="102" t="s">
        <v>158</v>
      </c>
      <c r="D29" s="110">
        <f>179019.57+990.15+132.02+5664.99</f>
        <v>185806.72999999998</v>
      </c>
      <c r="E29" s="351">
        <v>127276.22</v>
      </c>
      <c r="F29" s="110">
        <v>198000</v>
      </c>
      <c r="G29" s="311"/>
    </row>
    <row r="30" spans="1:10">
      <c r="A30" s="15"/>
      <c r="B30" s="15"/>
      <c r="C30" s="15"/>
      <c r="D30" s="70">
        <f>SUM(D27:D29)</f>
        <v>1255407.21</v>
      </c>
      <c r="E30" s="350">
        <f>SUM(E27:E29)</f>
        <v>552319.61</v>
      </c>
      <c r="F30" s="70">
        <f>SUM(F27:F29)</f>
        <v>818000</v>
      </c>
      <c r="G30" s="311"/>
      <c r="H30" s="6"/>
    </row>
    <row r="31" spans="1:10" ht="18" thickBot="1">
      <c r="A31" s="15"/>
      <c r="B31" s="15"/>
      <c r="C31" s="100" t="s">
        <v>93</v>
      </c>
      <c r="D31" s="101">
        <f>D25-D30</f>
        <v>-120471.91999999993</v>
      </c>
      <c r="E31" s="352">
        <f>E25-E30</f>
        <v>0</v>
      </c>
      <c r="F31" s="101">
        <f>F25-F30</f>
        <v>0</v>
      </c>
      <c r="G31" s="311"/>
      <c r="H31" s="6"/>
    </row>
    <row r="32" spans="1:10">
      <c r="A32" s="15"/>
      <c r="B32" s="15"/>
      <c r="C32" s="15"/>
      <c r="D32" s="15"/>
      <c r="E32" s="346"/>
      <c r="F32" s="15"/>
      <c r="G32" s="311"/>
      <c r="H32" s="6"/>
    </row>
    <row r="33" spans="1:9">
      <c r="A33" s="15"/>
      <c r="B33" s="15"/>
      <c r="C33" s="15"/>
      <c r="D33" s="15"/>
      <c r="E33" s="346"/>
      <c r="F33" s="15"/>
      <c r="G33" s="311"/>
      <c r="H33" s="6"/>
    </row>
    <row r="34" spans="1:9">
      <c r="A34" s="300">
        <v>26000</v>
      </c>
      <c r="B34" s="300"/>
      <c r="C34" s="300" t="s">
        <v>165</v>
      </c>
      <c r="D34" s="293" t="str">
        <f>'Budsjett 2024'!D$8</f>
        <v>Rekneskap 2023</v>
      </c>
      <c r="E34" s="347" t="str">
        <f>'Budsjett 2024'!E$8</f>
        <v>Reknskap 2024</v>
      </c>
      <c r="F34" s="293" t="str">
        <f>'Budsjett 2024'!F$8</f>
        <v>Budsjett 2024 rev. 2</v>
      </c>
      <c r="G34" s="311"/>
      <c r="H34" s="6"/>
    </row>
    <row r="35" spans="1:9">
      <c r="A35" s="15"/>
      <c r="B35" s="15"/>
      <c r="C35" s="67" t="s">
        <v>142</v>
      </c>
      <c r="D35" s="68"/>
      <c r="E35" s="354"/>
      <c r="F35" s="68"/>
      <c r="G35" s="311"/>
      <c r="H35" s="6"/>
    </row>
    <row r="36" spans="1:9">
      <c r="A36" s="32">
        <v>3400</v>
      </c>
      <c r="B36" s="15"/>
      <c r="C36" s="15" t="s">
        <v>166</v>
      </c>
      <c r="D36" s="23">
        <v>500000</v>
      </c>
      <c r="E36" s="346">
        <v>500000</v>
      </c>
      <c r="F36" s="23">
        <v>500000</v>
      </c>
      <c r="G36" s="311"/>
      <c r="I36" s="6"/>
    </row>
    <row r="37" spans="1:9">
      <c r="A37" s="32">
        <v>3400</v>
      </c>
      <c r="B37" s="15"/>
      <c r="C37" s="15" t="s">
        <v>167</v>
      </c>
      <c r="D37" s="23">
        <v>40000</v>
      </c>
      <c r="E37" s="346">
        <v>40000</v>
      </c>
      <c r="F37" s="23">
        <v>40000</v>
      </c>
      <c r="G37" s="311"/>
      <c r="I37" s="6"/>
    </row>
    <row r="38" spans="1:9">
      <c r="A38" s="32">
        <v>3400</v>
      </c>
      <c r="B38" s="15"/>
      <c r="C38" s="15" t="s">
        <v>168</v>
      </c>
      <c r="D38" s="23">
        <v>0</v>
      </c>
      <c r="E38" s="346">
        <v>113400</v>
      </c>
      <c r="F38" s="23">
        <v>113400</v>
      </c>
      <c r="G38" s="311"/>
      <c r="H38" s="6"/>
    </row>
    <row r="39" spans="1:9">
      <c r="A39" s="32">
        <v>3401</v>
      </c>
      <c r="B39" s="15"/>
      <c r="C39" s="15" t="s">
        <v>162</v>
      </c>
      <c r="D39" s="23">
        <v>0</v>
      </c>
      <c r="E39" s="346">
        <v>0</v>
      </c>
      <c r="F39" s="23">
        <v>0</v>
      </c>
      <c r="G39" s="311"/>
      <c r="H39" s="6"/>
      <c r="I39" s="6"/>
    </row>
    <row r="40" spans="1:9">
      <c r="A40" s="229">
        <v>3700</v>
      </c>
      <c r="B40" s="71"/>
      <c r="C40" s="15" t="s">
        <v>161</v>
      </c>
      <c r="D40" s="23">
        <v>30000</v>
      </c>
      <c r="E40" s="346">
        <v>0</v>
      </c>
      <c r="F40" s="23">
        <v>0</v>
      </c>
      <c r="G40" s="311"/>
      <c r="H40" s="20"/>
    </row>
    <row r="41" spans="1:9">
      <c r="A41" s="32"/>
      <c r="B41" s="15"/>
      <c r="C41" s="15"/>
      <c r="D41" s="70">
        <f>SUM(D36:D40)</f>
        <v>570000</v>
      </c>
      <c r="E41" s="350">
        <f>SUM(E36:E40)</f>
        <v>653400</v>
      </c>
      <c r="F41" s="70">
        <f>SUM(F36:F40)</f>
        <v>653400</v>
      </c>
      <c r="G41" s="311"/>
      <c r="H41" s="6"/>
    </row>
    <row r="42" spans="1:9">
      <c r="A42" s="32"/>
      <c r="B42" s="15"/>
      <c r="C42" s="67" t="s">
        <v>151</v>
      </c>
      <c r="D42" s="15"/>
      <c r="E42" s="346"/>
      <c r="F42" s="15"/>
      <c r="G42" s="311"/>
      <c r="H42" s="6"/>
    </row>
    <row r="43" spans="1:9">
      <c r="A43" s="32"/>
      <c r="B43" s="15"/>
      <c r="C43" s="15" t="s">
        <v>164</v>
      </c>
      <c r="D43" s="23">
        <v>31619.96</v>
      </c>
      <c r="E43" s="346">
        <v>26982.339999999997</v>
      </c>
      <c r="F43" s="23">
        <v>75000</v>
      </c>
      <c r="G43" s="311"/>
      <c r="H43" s="6"/>
    </row>
    <row r="44" spans="1:9">
      <c r="A44" s="32"/>
      <c r="B44" s="15"/>
      <c r="C44" s="15" t="s">
        <v>169</v>
      </c>
      <c r="D44" s="23">
        <v>0</v>
      </c>
      <c r="E44" s="346">
        <v>24215.9</v>
      </c>
      <c r="F44" s="23">
        <v>96000</v>
      </c>
      <c r="G44" s="311"/>
      <c r="H44" s="6"/>
    </row>
    <row r="45" spans="1:9">
      <c r="A45" s="32">
        <v>5003</v>
      </c>
      <c r="B45" s="15"/>
      <c r="C45" s="102" t="s">
        <v>157</v>
      </c>
      <c r="D45" s="110">
        <f>663246.82+3937.13+5368.81+3489.73+2237.01+1134.61+6442.58</f>
        <v>685856.69</v>
      </c>
      <c r="E45" s="351">
        <v>483790.98</v>
      </c>
      <c r="F45" s="110">
        <v>528000</v>
      </c>
      <c r="G45" s="311"/>
      <c r="H45" s="6"/>
    </row>
    <row r="46" spans="1:9">
      <c r="A46" s="32">
        <v>6990</v>
      </c>
      <c r="B46" s="15"/>
      <c r="C46" s="102" t="s">
        <v>158</v>
      </c>
      <c r="D46" s="110">
        <f>212585.74-396.06+1452.22+1980.3+1287.2+825.13+418.5+2376.37</f>
        <v>220529.4</v>
      </c>
      <c r="E46" s="351">
        <v>188792.77</v>
      </c>
      <c r="F46" s="110">
        <v>198000</v>
      </c>
      <c r="G46" s="311"/>
      <c r="H46" s="6"/>
    </row>
    <row r="47" spans="1:9">
      <c r="A47" s="15"/>
      <c r="B47" s="15"/>
      <c r="C47" s="15"/>
      <c r="D47" s="70">
        <f>SUM(D43:D46)</f>
        <v>938006.04999999993</v>
      </c>
      <c r="E47" s="350">
        <f>SUM(E43:E46)</f>
        <v>723781.99</v>
      </c>
      <c r="F47" s="70">
        <f>SUM(F43:F46)</f>
        <v>897000</v>
      </c>
      <c r="G47" s="311"/>
      <c r="H47" s="6"/>
    </row>
    <row r="48" spans="1:9" ht="18" thickBot="1">
      <c r="A48" s="15"/>
      <c r="B48" s="15"/>
      <c r="C48" s="100" t="s">
        <v>93</v>
      </c>
      <c r="D48" s="101">
        <f>D41-D47</f>
        <v>-368006.04999999993</v>
      </c>
      <c r="E48" s="101">
        <f>E41-E47</f>
        <v>-70381.989999999991</v>
      </c>
      <c r="F48" s="101">
        <f>F41-F47</f>
        <v>-243600</v>
      </c>
      <c r="G48" s="311"/>
      <c r="H48" s="6"/>
    </row>
    <row r="49" spans="1:8">
      <c r="A49" s="15"/>
      <c r="B49" s="15"/>
      <c r="C49" s="15"/>
      <c r="D49" s="15"/>
      <c r="E49" s="346"/>
      <c r="F49" s="15"/>
      <c r="G49" s="311"/>
      <c r="H49" s="6"/>
    </row>
    <row r="50" spans="1:8">
      <c r="A50" s="15"/>
      <c r="B50" s="15"/>
      <c r="C50" s="15"/>
      <c r="D50" s="15"/>
      <c r="E50" s="346"/>
      <c r="F50" s="15"/>
      <c r="G50" s="311"/>
      <c r="H50" s="6"/>
    </row>
    <row r="51" spans="1:8">
      <c r="A51" s="310">
        <v>26200</v>
      </c>
      <c r="B51" s="300"/>
      <c r="C51" s="300" t="s">
        <v>170</v>
      </c>
      <c r="D51" s="293" t="str">
        <f>'Budsjett 2024'!D$8</f>
        <v>Rekneskap 2023</v>
      </c>
      <c r="E51" s="347" t="str">
        <f>'Budsjett 2024'!E$8</f>
        <v>Reknskap 2024</v>
      </c>
      <c r="F51" s="293" t="str">
        <f>'Budsjett 2024'!F$8</f>
        <v>Budsjett 2024 rev. 2</v>
      </c>
      <c r="G51" s="311"/>
      <c r="H51" s="6"/>
    </row>
    <row r="52" spans="1:8">
      <c r="A52" s="15"/>
      <c r="B52" s="15"/>
      <c r="C52" s="67" t="s">
        <v>142</v>
      </c>
      <c r="D52" s="68"/>
      <c r="E52" s="354"/>
      <c r="F52" s="68"/>
      <c r="G52" s="311"/>
      <c r="H52" s="6"/>
    </row>
    <row r="53" spans="1:8">
      <c r="A53" s="32">
        <v>3400</v>
      </c>
      <c r="B53" s="15"/>
      <c r="C53" s="15" t="s">
        <v>171</v>
      </c>
      <c r="D53" s="23">
        <v>0</v>
      </c>
      <c r="E53" s="346">
        <v>270000</v>
      </c>
      <c r="F53" s="23">
        <v>270000</v>
      </c>
      <c r="G53" s="311"/>
      <c r="H53" s="6"/>
    </row>
    <row r="54" spans="1:8">
      <c r="A54" s="229">
        <v>3700</v>
      </c>
      <c r="B54" s="71"/>
      <c r="C54" s="15" t="s">
        <v>161</v>
      </c>
      <c r="D54" s="23">
        <v>0</v>
      </c>
      <c r="E54" s="346">
        <v>0</v>
      </c>
      <c r="F54" s="23">
        <v>0</v>
      </c>
      <c r="G54" s="311"/>
      <c r="H54" s="6"/>
    </row>
    <row r="55" spans="1:8">
      <c r="A55" s="229">
        <v>3401</v>
      </c>
      <c r="B55" s="71"/>
      <c r="C55" s="15" t="s">
        <v>162</v>
      </c>
      <c r="D55" s="23">
        <v>0</v>
      </c>
      <c r="E55" s="355">
        <v>-99004</v>
      </c>
      <c r="F55" s="69">
        <v>-90000</v>
      </c>
      <c r="G55" s="311"/>
      <c r="H55" s="6"/>
    </row>
    <row r="56" spans="1:8">
      <c r="A56" s="32"/>
      <c r="B56" s="15"/>
      <c r="C56" s="67"/>
      <c r="D56" s="68">
        <f>SUM(D53:D55)</f>
        <v>0</v>
      </c>
      <c r="E56" s="354">
        <f>SUM(E53:E55)</f>
        <v>170996</v>
      </c>
      <c r="F56" s="68">
        <f>SUM(F53:F55)</f>
        <v>180000</v>
      </c>
      <c r="G56" s="311"/>
      <c r="H56" s="6"/>
    </row>
    <row r="57" spans="1:8">
      <c r="A57" s="32"/>
      <c r="B57" s="15"/>
      <c r="C57" s="67" t="s">
        <v>151</v>
      </c>
      <c r="D57" s="68"/>
      <c r="E57" s="354"/>
      <c r="F57" s="68"/>
      <c r="G57" s="311"/>
      <c r="H57" s="6"/>
    </row>
    <row r="58" spans="1:8">
      <c r="A58" s="32"/>
      <c r="B58" s="15"/>
      <c r="C58" s="15" t="s">
        <v>164</v>
      </c>
      <c r="D58" s="23">
        <v>0</v>
      </c>
      <c r="E58" s="346">
        <v>181</v>
      </c>
      <c r="F58" s="23">
        <v>40000</v>
      </c>
      <c r="G58" s="311" t="s">
        <v>172</v>
      </c>
      <c r="H58" s="6"/>
    </row>
    <row r="59" spans="1:8">
      <c r="A59" s="32">
        <v>5003</v>
      </c>
      <c r="B59" s="15"/>
      <c r="C59" s="102" t="s">
        <v>157</v>
      </c>
      <c r="D59" s="110">
        <v>0</v>
      </c>
      <c r="E59" s="351">
        <v>122867.55</v>
      </c>
      <c r="F59" s="110">
        <v>189000</v>
      </c>
      <c r="G59" s="311"/>
      <c r="H59" s="6"/>
    </row>
    <row r="60" spans="1:8">
      <c r="A60" s="32">
        <v>6990</v>
      </c>
      <c r="B60" s="15"/>
      <c r="C60" s="102" t="s">
        <v>158</v>
      </c>
      <c r="D60" s="110">
        <v>0</v>
      </c>
      <c r="E60" s="351">
        <v>47947.37</v>
      </c>
      <c r="F60" s="110">
        <v>71000</v>
      </c>
      <c r="G60" s="311"/>
      <c r="H60" s="6"/>
    </row>
    <row r="61" spans="1:8">
      <c r="A61" s="15"/>
      <c r="B61" s="15"/>
      <c r="C61" s="15"/>
      <c r="D61" s="70">
        <f>SUM(D58:D60)</f>
        <v>0</v>
      </c>
      <c r="E61" s="350">
        <f>SUM(E58:E60)</f>
        <v>170995.92</v>
      </c>
      <c r="F61" s="70">
        <f>SUM(F58:F60)</f>
        <v>300000</v>
      </c>
      <c r="G61" s="311"/>
      <c r="H61" s="6"/>
    </row>
    <row r="62" spans="1:8" ht="18" thickBot="1">
      <c r="A62" s="15"/>
      <c r="B62" s="15"/>
      <c r="C62" s="100" t="s">
        <v>93</v>
      </c>
      <c r="D62" s="101">
        <f>D56-D61</f>
        <v>0</v>
      </c>
      <c r="E62" s="352">
        <f>E56-E61</f>
        <v>7.9999999987194315E-2</v>
      </c>
      <c r="F62" s="101">
        <f>F56-F61</f>
        <v>-120000</v>
      </c>
      <c r="G62" s="311"/>
      <c r="H62" s="6"/>
    </row>
    <row r="63" spans="1:8">
      <c r="A63" s="15"/>
      <c r="B63" s="15"/>
      <c r="C63" s="15"/>
      <c r="D63" s="15"/>
      <c r="E63" s="346"/>
      <c r="F63" s="15"/>
      <c r="G63" s="311"/>
      <c r="H63" s="6"/>
    </row>
    <row r="64" spans="1:8">
      <c r="A64" s="15"/>
      <c r="B64" s="15"/>
      <c r="C64" s="15"/>
      <c r="D64" s="15"/>
      <c r="E64" s="346"/>
      <c r="F64" s="15"/>
      <c r="G64" s="311"/>
      <c r="H64" s="6"/>
    </row>
    <row r="65" spans="1:11">
      <c r="A65" s="259"/>
      <c r="B65" s="259"/>
      <c r="C65" s="300" t="s">
        <v>173</v>
      </c>
      <c r="D65" s="293" t="str">
        <f>'Budsjett 2024'!D$8</f>
        <v>Rekneskap 2023</v>
      </c>
      <c r="E65" s="347" t="str">
        <f>'Budsjett 2024'!E$8</f>
        <v>Reknskap 2024</v>
      </c>
      <c r="F65" s="293" t="str">
        <f>'Budsjett 2024'!F$8</f>
        <v>Budsjett 2024 rev. 2</v>
      </c>
      <c r="G65" s="311"/>
    </row>
    <row r="66" spans="1:11">
      <c r="A66" s="32">
        <v>60200</v>
      </c>
      <c r="B66" s="15"/>
      <c r="C66" s="67" t="s">
        <v>142</v>
      </c>
      <c r="D66" s="68"/>
      <c r="E66" s="354"/>
      <c r="F66" s="68"/>
      <c r="G66" s="311"/>
    </row>
    <row r="67" spans="1:11">
      <c r="A67" s="32">
        <v>3400</v>
      </c>
      <c r="B67" s="15"/>
      <c r="C67" s="15" t="s">
        <v>174</v>
      </c>
      <c r="D67" s="23">
        <f>619799-42751.83</f>
        <v>577047.17000000004</v>
      </c>
      <c r="E67" s="346">
        <v>490000</v>
      </c>
      <c r="F67" s="37">
        <v>490000</v>
      </c>
      <c r="G67" s="311"/>
    </row>
    <row r="68" spans="1:11">
      <c r="A68" s="229">
        <v>3700</v>
      </c>
      <c r="B68" s="71"/>
      <c r="C68" s="15" t="s">
        <v>161</v>
      </c>
      <c r="D68" s="23">
        <v>141933.04999999999</v>
      </c>
      <c r="E68" s="346">
        <v>115557.39</v>
      </c>
      <c r="F68" s="23">
        <v>115557.39</v>
      </c>
      <c r="G68" s="311"/>
    </row>
    <row r="69" spans="1:11">
      <c r="A69" s="229">
        <v>3401</v>
      </c>
      <c r="B69" s="71"/>
      <c r="C69" s="15" t="s">
        <v>162</v>
      </c>
      <c r="D69" s="69">
        <v>-115557.39</v>
      </c>
      <c r="E69" s="346">
        <v>0</v>
      </c>
      <c r="F69" s="23">
        <v>0</v>
      </c>
      <c r="G69" s="311"/>
    </row>
    <row r="70" spans="1:11">
      <c r="A70" s="32"/>
      <c r="B70" s="15"/>
      <c r="C70" s="67"/>
      <c r="D70" s="68">
        <f>SUM(D67:D69)</f>
        <v>603422.82999999996</v>
      </c>
      <c r="E70" s="354">
        <f>SUM(E67:E69)</f>
        <v>605557.39</v>
      </c>
      <c r="F70" s="68">
        <f>SUM(F67:F69)</f>
        <v>605557.39</v>
      </c>
      <c r="G70" s="311"/>
    </row>
    <row r="71" spans="1:11">
      <c r="A71" s="32"/>
      <c r="B71" s="15"/>
      <c r="C71" s="67" t="s">
        <v>151</v>
      </c>
      <c r="D71" s="68"/>
      <c r="E71" s="354"/>
      <c r="F71" s="68"/>
      <c r="G71" s="311"/>
    </row>
    <row r="72" spans="1:11">
      <c r="A72" s="32">
        <v>60200</v>
      </c>
      <c r="B72" s="15"/>
      <c r="C72" s="5" t="s">
        <v>175</v>
      </c>
      <c r="D72" s="286">
        <v>22500</v>
      </c>
      <c r="E72" s="346">
        <v>25000</v>
      </c>
      <c r="F72" s="23">
        <v>30000</v>
      </c>
      <c r="G72" s="311"/>
    </row>
    <row r="73" spans="1:11">
      <c r="A73" s="32">
        <v>60300</v>
      </c>
      <c r="B73" s="15"/>
      <c r="C73" s="5" t="s">
        <v>176</v>
      </c>
      <c r="D73" s="286">
        <v>77749.27</v>
      </c>
      <c r="E73" s="346">
        <v>62771.86</v>
      </c>
      <c r="F73" s="23">
        <v>80557</v>
      </c>
      <c r="G73" s="311"/>
    </row>
    <row r="74" spans="1:11">
      <c r="A74" s="32">
        <v>60400</v>
      </c>
      <c r="B74" s="15"/>
      <c r="C74" s="5" t="s">
        <v>177</v>
      </c>
      <c r="D74" s="286">
        <v>7734.83</v>
      </c>
      <c r="E74" s="346">
        <f>84863.57+1080+350+750</f>
        <v>87043.57</v>
      </c>
      <c r="F74" s="23">
        <v>90000</v>
      </c>
      <c r="G74" s="311"/>
    </row>
    <row r="75" spans="1:11">
      <c r="A75" s="32">
        <v>60700</v>
      </c>
      <c r="B75" s="15"/>
      <c r="C75" s="5" t="s">
        <v>178</v>
      </c>
      <c r="D75" s="286">
        <v>171154.32</v>
      </c>
      <c r="E75" s="346">
        <v>74760.490000000005</v>
      </c>
      <c r="F75" s="23">
        <v>42000</v>
      </c>
      <c r="G75" s="311"/>
    </row>
    <row r="76" spans="1:11">
      <c r="A76" s="32">
        <v>5003</v>
      </c>
      <c r="B76" s="15"/>
      <c r="C76" s="102" t="s">
        <v>157</v>
      </c>
      <c r="D76" s="110">
        <f>166746.62+112415.82+536.88</f>
        <v>279699.32</v>
      </c>
      <c r="E76" s="351">
        <v>374418.29</v>
      </c>
      <c r="F76" s="110">
        <v>264000</v>
      </c>
      <c r="G76" s="311"/>
    </row>
    <row r="77" spans="1:11">
      <c r="A77" s="32">
        <v>6990</v>
      </c>
      <c r="B77" s="15"/>
      <c r="C77" s="102" t="s">
        <v>158</v>
      </c>
      <c r="D77" s="110">
        <f>53705.87+41464.95+198.03</f>
        <v>95368.85</v>
      </c>
      <c r="E77" s="351">
        <v>160578.6</v>
      </c>
      <c r="F77" s="110">
        <v>99000</v>
      </c>
      <c r="G77" s="311"/>
      <c r="H77" s="4"/>
      <c r="I77" s="15"/>
      <c r="J77" s="15"/>
      <c r="K77" s="15"/>
    </row>
    <row r="78" spans="1:11">
      <c r="D78" s="68">
        <f>SUM(D72:D77)</f>
        <v>654206.59</v>
      </c>
      <c r="E78" s="354">
        <f>SUM(E72:E77)</f>
        <v>784572.80999999994</v>
      </c>
      <c r="F78" s="68">
        <f>SUM(F72:F77)</f>
        <v>605557</v>
      </c>
      <c r="G78" s="311"/>
    </row>
    <row r="79" spans="1:11" ht="18" thickBot="1">
      <c r="A79" s="15"/>
      <c r="B79" s="15"/>
      <c r="C79" s="100" t="s">
        <v>93</v>
      </c>
      <c r="D79" s="101">
        <f>D70-D78</f>
        <v>-50783.760000000009</v>
      </c>
      <c r="E79" s="101">
        <f>E70-E78</f>
        <v>-179015.41999999993</v>
      </c>
      <c r="F79" s="101">
        <f>F70-F78</f>
        <v>0.39000000001396984</v>
      </c>
      <c r="G79" s="311"/>
    </row>
    <row r="80" spans="1:11">
      <c r="G80" s="311"/>
    </row>
    <row r="81" spans="1:7">
      <c r="G81" s="311"/>
    </row>
    <row r="82" spans="1:7">
      <c r="A82" s="300">
        <v>26900</v>
      </c>
      <c r="B82" s="259"/>
      <c r="C82" s="300" t="s">
        <v>179</v>
      </c>
      <c r="D82" s="293" t="str">
        <f>'Budsjett 2024'!D$8</f>
        <v>Rekneskap 2023</v>
      </c>
      <c r="E82" s="347" t="str">
        <f>'Budsjett 2024'!E$8</f>
        <v>Reknskap 2024</v>
      </c>
      <c r="F82" s="293" t="str">
        <f>'Budsjett 2024'!F$8</f>
        <v>Budsjett 2024 rev. 2</v>
      </c>
      <c r="G82" s="311"/>
    </row>
    <row r="83" spans="1:7">
      <c r="A83" s="32"/>
      <c r="B83" s="15"/>
      <c r="C83" s="67" t="s">
        <v>142</v>
      </c>
      <c r="D83" s="68"/>
      <c r="E83" s="354"/>
      <c r="F83" s="68"/>
      <c r="G83" s="311"/>
    </row>
    <row r="84" spans="1:7">
      <c r="A84" s="32">
        <v>3400</v>
      </c>
      <c r="B84" s="15"/>
      <c r="C84" s="15" t="s">
        <v>180</v>
      </c>
      <c r="D84" s="23">
        <v>300000</v>
      </c>
      <c r="E84" s="346">
        <v>320000</v>
      </c>
      <c r="F84" s="23">
        <v>320000</v>
      </c>
      <c r="G84" s="311"/>
    </row>
    <row r="85" spans="1:7">
      <c r="A85" s="32">
        <v>3700</v>
      </c>
      <c r="B85" s="15"/>
      <c r="C85" s="15" t="s">
        <v>161</v>
      </c>
      <c r="D85" s="23">
        <v>0</v>
      </c>
      <c r="E85" s="346">
        <v>86718.85</v>
      </c>
      <c r="F85" s="23">
        <v>86718.85</v>
      </c>
      <c r="G85" s="311"/>
    </row>
    <row r="86" spans="1:7">
      <c r="A86" s="229">
        <v>3401</v>
      </c>
      <c r="B86" s="71"/>
      <c r="C86" s="15" t="s">
        <v>162</v>
      </c>
      <c r="D86" s="69">
        <v>-86718.85</v>
      </c>
      <c r="E86" s="355">
        <v>-2152</v>
      </c>
      <c r="F86" s="23">
        <v>0</v>
      </c>
      <c r="G86" s="311"/>
    </row>
    <row r="87" spans="1:7">
      <c r="A87" s="32"/>
      <c r="B87" s="15"/>
      <c r="C87" s="67"/>
      <c r="D87" s="68">
        <f>SUM(D84:D86)</f>
        <v>213281.15</v>
      </c>
      <c r="E87" s="354">
        <f>SUM(E84:E86)</f>
        <v>404566.85</v>
      </c>
      <c r="F87" s="68">
        <f>SUM(F84:F86)</f>
        <v>406718.85</v>
      </c>
      <c r="G87" s="311"/>
    </row>
    <row r="88" spans="1:7">
      <c r="A88" s="32"/>
      <c r="B88" s="15"/>
      <c r="C88" s="67" t="s">
        <v>151</v>
      </c>
      <c r="D88" s="68"/>
      <c r="E88" s="354"/>
      <c r="F88" s="68"/>
      <c r="G88" s="311"/>
    </row>
    <row r="89" spans="1:7">
      <c r="A89" s="32">
        <v>26900</v>
      </c>
      <c r="B89" s="15"/>
      <c r="C89" s="15" t="s">
        <v>181</v>
      </c>
      <c r="D89" s="33">
        <v>212951.86</v>
      </c>
      <c r="E89" s="346">
        <v>393890.95</v>
      </c>
      <c r="F89" s="23">
        <v>354718.85</v>
      </c>
      <c r="G89" s="311" t="s">
        <v>182</v>
      </c>
    </row>
    <row r="90" spans="1:7">
      <c r="A90" s="32">
        <v>5003</v>
      </c>
      <c r="B90" s="15"/>
      <c r="C90" s="102" t="s">
        <v>157</v>
      </c>
      <c r="D90" s="110">
        <v>329.29</v>
      </c>
      <c r="E90" s="351">
        <v>7679.22</v>
      </c>
      <c r="F90" s="110">
        <v>38000</v>
      </c>
      <c r="G90" s="311"/>
    </row>
    <row r="91" spans="1:7">
      <c r="A91" s="32">
        <v>6990</v>
      </c>
      <c r="B91" s="15"/>
      <c r="C91" s="102" t="s">
        <v>158</v>
      </c>
      <c r="D91" s="110">
        <v>0</v>
      </c>
      <c r="E91" s="351">
        <v>2997.71</v>
      </c>
      <c r="F91" s="110">
        <v>14000</v>
      </c>
      <c r="G91" s="311"/>
    </row>
    <row r="92" spans="1:7">
      <c r="D92" s="68">
        <f>SUM(D89:D91)</f>
        <v>213281.15</v>
      </c>
      <c r="E92" s="354">
        <f>SUM(E89:E91)</f>
        <v>404567.88</v>
      </c>
      <c r="F92" s="68">
        <f>SUM(F89:F91)</f>
        <v>406718.85</v>
      </c>
      <c r="G92" s="311"/>
    </row>
    <row r="93" spans="1:7" ht="18" thickBot="1">
      <c r="A93" s="15"/>
      <c r="B93" s="15"/>
      <c r="C93" s="100" t="s">
        <v>93</v>
      </c>
      <c r="D93" s="101">
        <f>D87-D92</f>
        <v>0</v>
      </c>
      <c r="E93" s="352">
        <f>E87-E92</f>
        <v>-1.0300000000279397</v>
      </c>
      <c r="F93" s="101">
        <f>F87-F92</f>
        <v>0</v>
      </c>
      <c r="G93" s="311"/>
    </row>
    <row r="94" spans="1:7">
      <c r="A94" s="15"/>
      <c r="B94" s="15"/>
      <c r="C94" s="67"/>
      <c r="D94" s="68"/>
      <c r="E94" s="354"/>
      <c r="F94" s="68"/>
      <c r="G94" s="311"/>
    </row>
    <row r="95" spans="1:7">
      <c r="G95" s="311"/>
    </row>
    <row r="96" spans="1:7">
      <c r="A96" s="300">
        <v>28400</v>
      </c>
      <c r="B96" s="259"/>
      <c r="C96" s="300" t="s">
        <v>183</v>
      </c>
      <c r="D96" s="293" t="str">
        <f>'Budsjett 2024'!D$8</f>
        <v>Rekneskap 2023</v>
      </c>
      <c r="E96" s="347" t="str">
        <f>'Budsjett 2024'!E$8</f>
        <v>Reknskap 2024</v>
      </c>
      <c r="F96" s="293" t="str">
        <f>'Budsjett 2024'!F$8</f>
        <v>Budsjett 2024 rev. 2</v>
      </c>
      <c r="G96" s="311"/>
    </row>
    <row r="97" spans="1:7">
      <c r="A97" s="32"/>
      <c r="B97" s="15"/>
      <c r="C97" s="67" t="s">
        <v>142</v>
      </c>
      <c r="D97" s="68"/>
      <c r="E97" s="354"/>
      <c r="F97" s="68"/>
      <c r="G97" s="311"/>
    </row>
    <row r="98" spans="1:7">
      <c r="A98" s="32">
        <v>3400</v>
      </c>
      <c r="B98" s="15"/>
      <c r="C98" s="15" t="s">
        <v>184</v>
      </c>
      <c r="D98" s="23">
        <v>0</v>
      </c>
      <c r="E98" s="346">
        <v>350000</v>
      </c>
      <c r="F98" s="23">
        <v>350000</v>
      </c>
      <c r="G98" s="311"/>
    </row>
    <row r="99" spans="1:7">
      <c r="A99" s="32"/>
      <c r="B99" s="15"/>
      <c r="C99" s="67"/>
      <c r="D99" s="68">
        <f>SUM(D98:D98)</f>
        <v>0</v>
      </c>
      <c r="E99" s="354">
        <f>SUM(E98:E98)</f>
        <v>350000</v>
      </c>
      <c r="F99" s="68">
        <f>SUM(F98:F98)</f>
        <v>350000</v>
      </c>
      <c r="G99" s="311"/>
    </row>
    <row r="100" spans="1:7">
      <c r="A100" s="32"/>
      <c r="B100" s="15"/>
      <c r="C100" s="67" t="s">
        <v>151</v>
      </c>
      <c r="D100" s="68"/>
      <c r="E100" s="354"/>
      <c r="F100" s="68"/>
      <c r="G100" s="311"/>
    </row>
    <row r="101" spans="1:7">
      <c r="A101" s="32">
        <v>28400</v>
      </c>
      <c r="B101" s="15"/>
      <c r="C101" s="5" t="s">
        <v>185</v>
      </c>
      <c r="D101" s="33">
        <v>0</v>
      </c>
      <c r="E101" s="346">
        <v>44000.97</v>
      </c>
      <c r="F101" s="23">
        <v>120000</v>
      </c>
      <c r="G101" s="311"/>
    </row>
    <row r="102" spans="1:7">
      <c r="A102" s="32">
        <v>28400</v>
      </c>
      <c r="B102" s="15"/>
      <c r="C102" s="5" t="s">
        <v>186</v>
      </c>
      <c r="D102" s="33">
        <v>0</v>
      </c>
      <c r="E102" s="346">
        <v>117622.75</v>
      </c>
      <c r="F102" s="23">
        <v>178000</v>
      </c>
      <c r="G102" s="311"/>
    </row>
    <row r="103" spans="1:7">
      <c r="A103" s="32">
        <v>5003</v>
      </c>
      <c r="B103" s="15"/>
      <c r="C103" s="102" t="s">
        <v>157</v>
      </c>
      <c r="D103" s="110">
        <v>0</v>
      </c>
      <c r="E103" s="351">
        <v>238055.88</v>
      </c>
      <c r="F103" s="110">
        <v>38000</v>
      </c>
      <c r="G103" s="311"/>
    </row>
    <row r="104" spans="1:7">
      <c r="A104" s="32">
        <v>6990</v>
      </c>
      <c r="B104" s="15"/>
      <c r="C104" s="102" t="s">
        <v>158</v>
      </c>
      <c r="D104" s="110">
        <v>0</v>
      </c>
      <c r="E104" s="351">
        <v>92898.03</v>
      </c>
      <c r="F104" s="110">
        <v>14000</v>
      </c>
      <c r="G104" s="311"/>
    </row>
    <row r="105" spans="1:7">
      <c r="D105" s="68">
        <f>SUM(D101:D104)</f>
        <v>0</v>
      </c>
      <c r="E105" s="354">
        <f>SUM(E101:E104)</f>
        <v>492577.63</v>
      </c>
      <c r="F105" s="68">
        <f>SUM(F101:F104)</f>
        <v>350000</v>
      </c>
      <c r="G105" s="311"/>
    </row>
    <row r="106" spans="1:7" ht="18" thickBot="1">
      <c r="A106" s="15"/>
      <c r="B106" s="15"/>
      <c r="C106" s="100" t="s">
        <v>93</v>
      </c>
      <c r="D106" s="101">
        <f>D99-D105</f>
        <v>0</v>
      </c>
      <c r="E106" s="101">
        <f>E99-E105</f>
        <v>-142577.63</v>
      </c>
      <c r="F106" s="101">
        <f>F99-F105</f>
        <v>0</v>
      </c>
      <c r="G106" s="311"/>
    </row>
    <row r="107" spans="1:7">
      <c r="A107" s="15"/>
      <c r="B107" s="15"/>
      <c r="C107" s="67"/>
      <c r="D107" s="68"/>
      <c r="E107" s="354"/>
      <c r="F107" s="68"/>
    </row>
    <row r="109" spans="1:7">
      <c r="A109" s="300">
        <v>41000</v>
      </c>
      <c r="B109" s="259"/>
      <c r="C109" s="300" t="s">
        <v>187</v>
      </c>
      <c r="D109" s="293" t="str">
        <f>'Budsjett 2024'!D$8</f>
        <v>Rekneskap 2023</v>
      </c>
      <c r="E109" s="347" t="str">
        <f>'Budsjett 2024'!E$8</f>
        <v>Reknskap 2024</v>
      </c>
      <c r="F109" s="293" t="str">
        <f>'Budsjett 2024'!F$8</f>
        <v>Budsjett 2024 rev. 2</v>
      </c>
      <c r="G109" s="15" t="s">
        <v>188</v>
      </c>
    </row>
    <row r="110" spans="1:7">
      <c r="A110" s="32"/>
      <c r="B110" s="15"/>
      <c r="C110" s="67" t="s">
        <v>142</v>
      </c>
      <c r="D110" s="24"/>
      <c r="E110" s="356"/>
      <c r="F110" s="24"/>
    </row>
    <row r="111" spans="1:7">
      <c r="A111" s="32">
        <v>3400</v>
      </c>
      <c r="B111" s="15"/>
      <c r="C111" s="15" t="s">
        <v>189</v>
      </c>
      <c r="D111" s="38">
        <v>77405.66</v>
      </c>
      <c r="E111" s="349">
        <v>0</v>
      </c>
      <c r="F111" s="24">
        <v>0</v>
      </c>
    </row>
    <row r="112" spans="1:7">
      <c r="A112" s="229">
        <v>3700</v>
      </c>
      <c r="B112" s="71"/>
      <c r="C112" s="15" t="s">
        <v>161</v>
      </c>
      <c r="D112" s="38">
        <v>28723.54</v>
      </c>
      <c r="E112" s="349">
        <v>0</v>
      </c>
      <c r="F112" s="23">
        <v>0</v>
      </c>
    </row>
    <row r="113" spans="1:7">
      <c r="A113" s="229">
        <v>3401</v>
      </c>
      <c r="B113" s="71"/>
      <c r="C113" s="15" t="s">
        <v>162</v>
      </c>
      <c r="D113" s="23">
        <v>0</v>
      </c>
      <c r="E113" s="346">
        <v>0</v>
      </c>
      <c r="F113" s="23">
        <v>0</v>
      </c>
    </row>
    <row r="114" spans="1:7">
      <c r="A114" s="229">
        <v>3401</v>
      </c>
      <c r="B114" s="71"/>
      <c r="C114" s="15" t="s">
        <v>190</v>
      </c>
      <c r="D114" s="38">
        <f>98668+4752</f>
        <v>103420</v>
      </c>
      <c r="E114" s="349">
        <v>73412.100000000006</v>
      </c>
      <c r="F114" s="23">
        <v>73412.100000000006</v>
      </c>
    </row>
    <row r="115" spans="1:7">
      <c r="A115" s="32"/>
      <c r="B115" s="15"/>
      <c r="C115" s="15"/>
      <c r="D115" s="68">
        <f>SUM(D111:D114)</f>
        <v>209549.2</v>
      </c>
      <c r="E115" s="354">
        <f>SUM(E111:E114)</f>
        <v>73412.100000000006</v>
      </c>
      <c r="F115" s="68">
        <f>SUM(F111:F114)</f>
        <v>73412.100000000006</v>
      </c>
    </row>
    <row r="116" spans="1:7">
      <c r="A116" s="32"/>
      <c r="B116" s="15"/>
      <c r="C116" s="67" t="s">
        <v>151</v>
      </c>
      <c r="D116" s="68"/>
      <c r="E116" s="354"/>
      <c r="F116" s="68"/>
    </row>
    <row r="117" spans="1:7">
      <c r="A117" s="32">
        <v>41000</v>
      </c>
      <c r="B117" s="15"/>
      <c r="C117" s="15" t="s">
        <v>164</v>
      </c>
      <c r="D117" s="23">
        <v>103271.42</v>
      </c>
      <c r="E117" s="356">
        <v>68808.66</v>
      </c>
      <c r="F117" s="24">
        <v>68808.66</v>
      </c>
    </row>
    <row r="118" spans="1:7">
      <c r="A118" s="32">
        <v>5003</v>
      </c>
      <c r="B118" s="15"/>
      <c r="C118" s="102" t="s">
        <v>157</v>
      </c>
      <c r="D118" s="110">
        <f>5189.85+124255.85+13958.92+357.92</f>
        <v>143762.54000000004</v>
      </c>
      <c r="E118" s="351">
        <v>53754.55</v>
      </c>
      <c r="F118" s="110">
        <v>38000</v>
      </c>
      <c r="G118" s="15" t="s">
        <v>191</v>
      </c>
    </row>
    <row r="119" spans="1:7">
      <c r="A119" s="32">
        <v>6990</v>
      </c>
      <c r="B119" s="15"/>
      <c r="C119" s="102" t="s">
        <v>158</v>
      </c>
      <c r="D119" s="110">
        <f>1914.29+45436.12+396.06+5148.79+132.02</f>
        <v>53027.28</v>
      </c>
      <c r="E119" s="351">
        <v>20976.97</v>
      </c>
      <c r="F119" s="110">
        <v>14000</v>
      </c>
    </row>
    <row r="120" spans="1:7">
      <c r="A120" s="34"/>
      <c r="B120" s="34"/>
      <c r="C120" s="34"/>
      <c r="D120" s="70">
        <f>SUM(D117:D119)</f>
        <v>300061.24</v>
      </c>
      <c r="E120" s="350">
        <f>SUM(E117:E119)</f>
        <v>143540.18</v>
      </c>
      <c r="F120" s="70">
        <f>SUM(F117:F119)</f>
        <v>120808.66</v>
      </c>
    </row>
    <row r="121" spans="1:7" ht="18" thickBot="1">
      <c r="A121" s="34"/>
      <c r="B121" s="34"/>
      <c r="C121" s="100" t="s">
        <v>93</v>
      </c>
      <c r="D121" s="101">
        <f>D115-D120</f>
        <v>-90512.039999999979</v>
      </c>
      <c r="E121" s="101">
        <f>E115-E120</f>
        <v>-70128.079999999987</v>
      </c>
      <c r="F121" s="101">
        <f>F115-F120</f>
        <v>-47396.56</v>
      </c>
    </row>
    <row r="124" spans="1:7">
      <c r="A124" s="300">
        <v>26500</v>
      </c>
      <c r="B124" s="259"/>
      <c r="C124" s="300" t="s">
        <v>192</v>
      </c>
      <c r="D124" s="293" t="str">
        <f>'Budsjett 2024'!D$8</f>
        <v>Rekneskap 2023</v>
      </c>
      <c r="E124" s="347" t="str">
        <f>'Budsjett 2024'!E$8</f>
        <v>Reknskap 2024</v>
      </c>
      <c r="F124" s="293" t="str">
        <f>'Budsjett 2024'!F$8</f>
        <v>Budsjett 2024 rev. 2</v>
      </c>
      <c r="G124" s="15" t="s">
        <v>105</v>
      </c>
    </row>
    <row r="125" spans="1:7">
      <c r="A125" s="32"/>
      <c r="B125" s="15"/>
      <c r="C125" s="67" t="s">
        <v>142</v>
      </c>
      <c r="D125" s="24"/>
      <c r="E125" s="356"/>
      <c r="F125" s="24"/>
    </row>
    <row r="126" spans="1:7">
      <c r="A126" s="32">
        <v>3400</v>
      </c>
      <c r="B126" s="15"/>
      <c r="C126" s="15" t="s">
        <v>193</v>
      </c>
      <c r="D126" s="24">
        <v>0</v>
      </c>
      <c r="E126" s="356">
        <v>0</v>
      </c>
      <c r="F126" s="24">
        <v>0</v>
      </c>
    </row>
    <row r="127" spans="1:7">
      <c r="A127" s="229">
        <v>3700</v>
      </c>
      <c r="B127" s="71"/>
      <c r="C127" s="15" t="s">
        <v>161</v>
      </c>
      <c r="D127" s="24">
        <v>509364.5</v>
      </c>
      <c r="E127" s="356">
        <v>0</v>
      </c>
      <c r="F127" s="23">
        <v>0</v>
      </c>
    </row>
    <row r="128" spans="1:7">
      <c r="A128" s="229">
        <v>3401</v>
      </c>
      <c r="B128" s="71"/>
      <c r="C128" s="15" t="s">
        <v>162</v>
      </c>
      <c r="D128" s="24">
        <v>0</v>
      </c>
      <c r="E128" s="356">
        <v>0</v>
      </c>
      <c r="F128" s="23">
        <v>0</v>
      </c>
    </row>
    <row r="129" spans="1:9">
      <c r="A129" s="32"/>
      <c r="B129" s="15"/>
      <c r="C129" s="15" t="s">
        <v>194</v>
      </c>
      <c r="D129" s="222">
        <v>-419239.66</v>
      </c>
      <c r="E129" s="356">
        <v>0</v>
      </c>
      <c r="F129" s="239">
        <v>0</v>
      </c>
    </row>
    <row r="130" spans="1:9">
      <c r="A130" s="32"/>
      <c r="B130" s="15"/>
      <c r="C130" s="15"/>
      <c r="D130" s="68">
        <f>SUM(D126:D129)</f>
        <v>90124.840000000026</v>
      </c>
      <c r="E130" s="354">
        <f>SUM(E126:E129)</f>
        <v>0</v>
      </c>
      <c r="F130" s="68">
        <f>SUM(F126:F129)</f>
        <v>0</v>
      </c>
    </row>
    <row r="131" spans="1:9">
      <c r="A131" s="32"/>
      <c r="B131" s="15"/>
      <c r="C131" s="67" t="s">
        <v>151</v>
      </c>
      <c r="D131" s="68"/>
      <c r="E131" s="354"/>
      <c r="F131" s="68"/>
    </row>
    <row r="132" spans="1:9">
      <c r="A132" s="32">
        <v>26500</v>
      </c>
      <c r="B132" s="15"/>
      <c r="C132" s="15" t="s">
        <v>164</v>
      </c>
      <c r="D132" s="24">
        <v>82776.820000000007</v>
      </c>
      <c r="E132" s="356">
        <v>0</v>
      </c>
      <c r="F132" s="24">
        <v>0</v>
      </c>
    </row>
    <row r="133" spans="1:9">
      <c r="A133" s="32">
        <v>5003</v>
      </c>
      <c r="B133" s="15"/>
      <c r="C133" s="102" t="s">
        <v>157</v>
      </c>
      <c r="D133" s="110">
        <v>5110.28</v>
      </c>
      <c r="E133" s="351">
        <v>0</v>
      </c>
      <c r="F133" s="110">
        <v>0</v>
      </c>
    </row>
    <row r="134" spans="1:9">
      <c r="A134" s="32">
        <v>6990</v>
      </c>
      <c r="B134" s="15"/>
      <c r="C134" s="102" t="s">
        <v>158</v>
      </c>
      <c r="D134" s="110">
        <v>2237.7399999999998</v>
      </c>
      <c r="E134" s="351">
        <v>0</v>
      </c>
      <c r="F134" s="110">
        <v>0</v>
      </c>
    </row>
    <row r="135" spans="1:9">
      <c r="A135" s="34"/>
      <c r="B135" s="34"/>
      <c r="C135" s="34"/>
      <c r="D135" s="70">
        <f>SUM(D132:D134)</f>
        <v>90124.840000000011</v>
      </c>
      <c r="E135" s="350">
        <f>SUM(E132:E134)</f>
        <v>0</v>
      </c>
      <c r="F135" s="70">
        <f>SUM(F132:F134)</f>
        <v>0</v>
      </c>
    </row>
    <row r="136" spans="1:9" ht="18" thickBot="1">
      <c r="A136" s="34"/>
      <c r="B136" s="34"/>
      <c r="C136" s="100" t="s">
        <v>93</v>
      </c>
      <c r="D136" s="101">
        <f>D130-D135</f>
        <v>0</v>
      </c>
      <c r="E136" s="352">
        <f>E130-E135</f>
        <v>0</v>
      </c>
      <c r="F136" s="101">
        <f>F130-F135</f>
        <v>0</v>
      </c>
    </row>
    <row r="138" spans="1:9">
      <c r="A138" s="15"/>
      <c r="B138" s="15"/>
      <c r="C138" s="67"/>
      <c r="D138" s="68"/>
      <c r="E138" s="354"/>
      <c r="F138" s="68"/>
    </row>
    <row r="139" spans="1:9">
      <c r="A139" s="300">
        <v>27000</v>
      </c>
      <c r="B139" s="259"/>
      <c r="C139" s="300" t="s">
        <v>195</v>
      </c>
      <c r="D139" s="293" t="str">
        <f>'Budsjett 2024'!D$8</f>
        <v>Rekneskap 2023</v>
      </c>
      <c r="E139" s="347" t="str">
        <f>'Budsjett 2024'!E$8</f>
        <v>Reknskap 2024</v>
      </c>
      <c r="F139" s="293" t="str">
        <f>'Budsjett 2024'!F$8</f>
        <v>Budsjett 2024 rev. 2</v>
      </c>
      <c r="G139" s="15" t="s">
        <v>105</v>
      </c>
    </row>
    <row r="140" spans="1:9">
      <c r="A140" s="15"/>
      <c r="B140" s="15"/>
      <c r="C140" s="67" t="s">
        <v>142</v>
      </c>
      <c r="D140" s="68"/>
      <c r="E140" s="354"/>
      <c r="F140" s="68"/>
    </row>
    <row r="141" spans="1:9">
      <c r="A141" s="229">
        <v>3400</v>
      </c>
      <c r="B141" s="15"/>
      <c r="C141" s="15" t="s">
        <v>196</v>
      </c>
      <c r="D141" s="23">
        <f>8328+107327</f>
        <v>115655</v>
      </c>
      <c r="E141" s="346">
        <v>0</v>
      </c>
      <c r="F141" s="23">
        <v>0</v>
      </c>
      <c r="H141" s="15"/>
      <c r="I141" s="15"/>
    </row>
    <row r="142" spans="1:9">
      <c r="A142" s="32"/>
      <c r="B142" s="15"/>
      <c r="C142" s="67"/>
      <c r="D142" s="68">
        <f>SUM(D140:D141)</f>
        <v>115655</v>
      </c>
      <c r="E142" s="354">
        <f>SUM(E140:E141)</f>
        <v>0</v>
      </c>
      <c r="F142" s="68">
        <f>SUM(F140:F141)</f>
        <v>0</v>
      </c>
    </row>
    <row r="143" spans="1:9">
      <c r="A143" s="32"/>
      <c r="B143" s="15"/>
      <c r="C143" s="67" t="s">
        <v>151</v>
      </c>
      <c r="D143" s="68"/>
      <c r="E143" s="354"/>
      <c r="F143" s="68"/>
    </row>
    <row r="144" spans="1:9">
      <c r="A144" s="32">
        <v>27000</v>
      </c>
      <c r="B144" s="15"/>
      <c r="C144" s="15" t="s">
        <v>164</v>
      </c>
      <c r="D144" s="23">
        <v>26073.7</v>
      </c>
      <c r="E144" s="346">
        <v>0</v>
      </c>
      <c r="F144" s="23">
        <v>0</v>
      </c>
      <c r="H144" s="15"/>
      <c r="I144" s="15"/>
    </row>
    <row r="145" spans="1:9">
      <c r="A145" s="32">
        <v>5003</v>
      </c>
      <c r="B145" s="15"/>
      <c r="C145" s="102" t="s">
        <v>197</v>
      </c>
      <c r="D145" s="110">
        <f>19698.43+6979.46+17956.9</f>
        <v>44634.79</v>
      </c>
      <c r="E145" s="351">
        <v>0</v>
      </c>
      <c r="F145" s="110">
        <v>0</v>
      </c>
      <c r="H145" s="15"/>
      <c r="I145" s="15"/>
    </row>
    <row r="146" spans="1:9">
      <c r="A146" s="32">
        <v>6990</v>
      </c>
      <c r="B146" s="15"/>
      <c r="C146" s="102" t="s">
        <v>158</v>
      </c>
      <c r="D146" s="110">
        <f>6713.23+2574.4+6623.46</f>
        <v>15911.09</v>
      </c>
      <c r="E146" s="351">
        <v>0</v>
      </c>
      <c r="F146" s="110">
        <v>0</v>
      </c>
      <c r="H146" s="15"/>
      <c r="I146" s="15"/>
    </row>
    <row r="147" spans="1:9">
      <c r="D147" s="68">
        <f>SUM(D144:D146)</f>
        <v>86619.58</v>
      </c>
      <c r="E147" s="354">
        <f>SUM(E144:E146)</f>
        <v>0</v>
      </c>
      <c r="F147" s="68">
        <f>SUM(F144:F146)</f>
        <v>0</v>
      </c>
    </row>
    <row r="148" spans="1:9" ht="18" thickBot="1">
      <c r="A148" s="15"/>
      <c r="B148" s="15"/>
      <c r="C148" s="100" t="s">
        <v>93</v>
      </c>
      <c r="D148" s="101">
        <f>D141-D147</f>
        <v>29035.42</v>
      </c>
      <c r="E148" s="352">
        <f>E141-E147</f>
        <v>0</v>
      </c>
      <c r="F148" s="101">
        <f>F141-F147</f>
        <v>0</v>
      </c>
    </row>
    <row r="149" spans="1:9">
      <c r="C149" s="215" t="s">
        <v>198</v>
      </c>
      <c r="D149" s="26"/>
      <c r="F149" s="26"/>
    </row>
  </sheetData>
  <sheetProtection algorithmName="SHA-512" hashValue="hbwlZ9GsJeOGKKPhhoKwQZRFRH+1m1CGZYn9cXbY/sdh5dm9OqWL2HXkiS/mZ3yaXBgjW3NZGnwRQ0Xg8hNRxg==" saltValue="9M5XZtpbGUtTOrSVK3phRg==" spinCount="100000" sheet="1" formatCells="0" formatColumns="0" formatRows="0" insertColumns="0" insertRows="0" insertHyperlinks="0" deleteColumns="0" deleteRows="0" sort="0" autoFilter="0" pivotTables="0"/>
  <phoneticPr fontId="7" type="noConversion"/>
  <pageMargins left="0.7" right="0.7" top="0.75" bottom="0.75" header="0.3" footer="0.3"/>
  <pageSetup paperSize="9" scale="5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D0626-E160-47A4-AF70-BB76AF64B942}">
  <sheetPr codeName="Ark4">
    <tabColor theme="5" tint="0.59999389629810485"/>
    <pageSetUpPr fitToPage="1"/>
  </sheetPr>
  <dimension ref="A1:K46"/>
  <sheetViews>
    <sheetView showGridLines="0" zoomScaleNormal="100" workbookViewId="0">
      <selection activeCell="I25" sqref="I25"/>
    </sheetView>
  </sheetViews>
  <sheetFormatPr defaultColWidth="11.42578125" defaultRowHeight="17.25"/>
  <cols>
    <col min="1" max="1" width="11.7109375" style="2" customWidth="1"/>
    <col min="2" max="2" width="5.28515625" style="2" customWidth="1"/>
    <col min="3" max="3" width="65.85546875" style="2" bestFit="1" customWidth="1"/>
    <col min="4" max="4" width="25.28515625" style="2" customWidth="1"/>
    <col min="5" max="5" width="17.5703125" style="345" bestFit="1" customWidth="1"/>
    <col min="6" max="6" width="25.28515625" style="2" customWidth="1"/>
    <col min="7" max="7" width="41.5703125" style="15" customWidth="1"/>
    <col min="8" max="9" width="11.42578125" style="2"/>
    <col min="10" max="10" width="14.28515625" style="2" bestFit="1" customWidth="1"/>
    <col min="11" max="16384" width="11.42578125" style="2"/>
  </cols>
  <sheetData>
    <row r="1" spans="1:10" ht="21">
      <c r="A1" s="91" t="s">
        <v>47</v>
      </c>
      <c r="B1" s="91"/>
      <c r="C1" s="15"/>
      <c r="D1" s="15"/>
      <c r="E1" s="346"/>
      <c r="F1" s="15"/>
      <c r="H1" s="15"/>
      <c r="I1" s="15"/>
    </row>
    <row r="2" spans="1:10">
      <c r="A2" s="15"/>
      <c r="B2" s="15"/>
      <c r="C2" s="15"/>
      <c r="D2" s="15"/>
      <c r="E2" s="346"/>
      <c r="F2" s="15"/>
      <c r="H2" s="15"/>
      <c r="I2" s="15"/>
    </row>
    <row r="3" spans="1:10">
      <c r="A3" s="72" t="s">
        <v>90</v>
      </c>
      <c r="B3" s="72"/>
      <c r="C3" s="15"/>
      <c r="D3" s="15"/>
      <c r="E3" s="346"/>
      <c r="F3" s="15"/>
      <c r="H3" s="15"/>
      <c r="I3" s="15"/>
    </row>
    <row r="4" spans="1:10">
      <c r="A4" s="260"/>
      <c r="B4" s="260"/>
      <c r="C4" s="261" t="s">
        <v>199</v>
      </c>
      <c r="D4" s="292" t="str">
        <f>'Budsjett 2024'!D$8</f>
        <v>Rekneskap 2023</v>
      </c>
      <c r="E4" s="357" t="str">
        <f>'Budsjett 2024'!E$8</f>
        <v>Reknskap 2024</v>
      </c>
      <c r="F4" s="292" t="str">
        <f>'Budsjett 2024'!F$8</f>
        <v>Budsjett 2024 rev. 2</v>
      </c>
      <c r="H4" s="15"/>
      <c r="I4" s="15"/>
    </row>
    <row r="5" spans="1:10">
      <c r="A5" s="15"/>
      <c r="B5" s="15"/>
      <c r="C5" s="67" t="s">
        <v>151</v>
      </c>
      <c r="D5" s="23"/>
      <c r="E5" s="346"/>
      <c r="F5" s="23"/>
      <c r="H5" s="15"/>
      <c r="I5" s="15"/>
    </row>
    <row r="6" spans="1:10">
      <c r="A6" s="15">
        <v>28000</v>
      </c>
      <c r="B6" s="15"/>
      <c r="C6" s="5" t="s">
        <v>200</v>
      </c>
      <c r="D6" s="23">
        <v>46507.67</v>
      </c>
      <c r="E6" s="346">
        <v>48873.59</v>
      </c>
      <c r="F6" s="23">
        <v>50000</v>
      </c>
      <c r="H6" s="15"/>
      <c r="I6" s="15"/>
    </row>
    <row r="7" spans="1:10">
      <c r="A7" s="15">
        <v>5003</v>
      </c>
      <c r="B7" s="15"/>
      <c r="C7" s="105" t="s">
        <v>157</v>
      </c>
      <c r="D7" s="116">
        <f>748145.39-2863.36-357.92</f>
        <v>744924.11</v>
      </c>
      <c r="E7" s="358">
        <v>928281.69564361998</v>
      </c>
      <c r="F7" s="116">
        <v>930000</v>
      </c>
      <c r="H7" s="15"/>
      <c r="I7" s="15"/>
    </row>
    <row r="8" spans="1:10">
      <c r="A8" s="15">
        <v>6990</v>
      </c>
      <c r="B8" s="15"/>
      <c r="C8" s="105" t="s">
        <v>158</v>
      </c>
      <c r="D8" s="116">
        <f>226012.21-1056.16-132.02</f>
        <v>224824.03</v>
      </c>
      <c r="E8" s="358">
        <v>374588.82096683531</v>
      </c>
      <c r="F8" s="116">
        <v>356000</v>
      </c>
      <c r="H8" s="15"/>
      <c r="I8" s="15"/>
    </row>
    <row r="9" spans="1:10">
      <c r="A9" s="34"/>
      <c r="B9" s="34"/>
      <c r="C9" s="34"/>
      <c r="D9" s="68">
        <f>SUM(D6:D8)</f>
        <v>1016255.81</v>
      </c>
      <c r="E9" s="354">
        <f>SUM(E6:E8)</f>
        <v>1351744.1066104553</v>
      </c>
      <c r="F9" s="68">
        <f>SUM(F6:F8)</f>
        <v>1336000</v>
      </c>
      <c r="H9" s="15"/>
      <c r="I9" s="15"/>
    </row>
    <row r="10" spans="1:10">
      <c r="A10" s="34"/>
      <c r="B10" s="34"/>
      <c r="C10" s="100" t="s">
        <v>93</v>
      </c>
      <c r="D10" s="101">
        <f>-D9</f>
        <v>-1016255.81</v>
      </c>
      <c r="E10" s="101">
        <f>-E9</f>
        <v>-1351744.1066104553</v>
      </c>
      <c r="F10" s="101">
        <f>-F9</f>
        <v>-1336000</v>
      </c>
      <c r="H10" s="15"/>
      <c r="I10" s="15"/>
    </row>
    <row r="11" spans="1:10">
      <c r="A11" s="34"/>
      <c r="B11" s="34"/>
      <c r="C11" s="34"/>
      <c r="D11" s="35"/>
      <c r="E11" s="353"/>
      <c r="F11" s="35"/>
      <c r="H11" s="15"/>
      <c r="I11" s="15"/>
    </row>
    <row r="12" spans="1:10">
      <c r="A12" s="15"/>
      <c r="B12" s="15"/>
      <c r="C12" s="15"/>
      <c r="D12" s="15"/>
      <c r="E12" s="346"/>
      <c r="F12" s="15"/>
      <c r="H12" s="23"/>
      <c r="I12" s="15"/>
      <c r="J12" s="26"/>
    </row>
    <row r="13" spans="1:10">
      <c r="A13" s="261"/>
      <c r="B13" s="301"/>
      <c r="C13" s="261" t="s">
        <v>201</v>
      </c>
      <c r="D13" s="292" t="str">
        <f>'Budsjett 2024'!D$8</f>
        <v>Rekneskap 2023</v>
      </c>
      <c r="E13" s="357" t="str">
        <f>'Budsjett 2024'!E$8</f>
        <v>Reknskap 2024</v>
      </c>
      <c r="F13" s="292" t="str">
        <f>'Budsjett 2024'!F$8</f>
        <v>Budsjett 2024 rev. 2</v>
      </c>
      <c r="G13" s="25"/>
      <c r="H13" s="15"/>
      <c r="I13" s="15"/>
    </row>
    <row r="14" spans="1:10">
      <c r="C14" s="67" t="s">
        <v>142</v>
      </c>
      <c r="G14" s="23"/>
      <c r="H14" s="26"/>
      <c r="I14" s="15"/>
    </row>
    <row r="15" spans="1:10">
      <c r="A15" s="71" t="s">
        <v>202</v>
      </c>
      <c r="B15" s="15"/>
      <c r="C15" s="17" t="s">
        <v>203</v>
      </c>
      <c r="D15" s="24">
        <v>80000</v>
      </c>
      <c r="E15" s="356">
        <v>53307</v>
      </c>
      <c r="F15" s="37">
        <v>80000</v>
      </c>
      <c r="G15" s="36" t="s">
        <v>204</v>
      </c>
      <c r="I15" s="15"/>
    </row>
    <row r="16" spans="1:10">
      <c r="A16" s="71" t="s">
        <v>202</v>
      </c>
      <c r="B16" s="17"/>
      <c r="C16" s="17" t="s">
        <v>205</v>
      </c>
      <c r="D16" s="24">
        <v>30000</v>
      </c>
      <c r="E16" s="356">
        <v>70000</v>
      </c>
      <c r="F16" s="37">
        <v>35000</v>
      </c>
      <c r="I16" s="15"/>
    </row>
    <row r="17" spans="1:11">
      <c r="A17" s="71" t="s">
        <v>202</v>
      </c>
      <c r="B17" s="17"/>
      <c r="C17" s="15" t="s">
        <v>206</v>
      </c>
      <c r="D17" s="24">
        <f>33819.44-3819.44</f>
        <v>30000.000000000004</v>
      </c>
      <c r="E17" s="356">
        <v>33642</v>
      </c>
      <c r="F17" s="37">
        <v>30000</v>
      </c>
      <c r="I17" s="15"/>
    </row>
    <row r="18" spans="1:11">
      <c r="A18" s="71" t="s">
        <v>202</v>
      </c>
      <c r="B18" s="17"/>
      <c r="C18" s="17" t="s">
        <v>207</v>
      </c>
      <c r="D18" s="24">
        <f>83565+56032+63974</f>
        <v>203571</v>
      </c>
      <c r="E18" s="356">
        <f>71429+48571</f>
        <v>120000</v>
      </c>
      <c r="F18" s="37">
        <v>100000</v>
      </c>
      <c r="I18" s="15"/>
    </row>
    <row r="19" spans="1:11">
      <c r="A19" s="71" t="s">
        <v>202</v>
      </c>
      <c r="B19" s="17"/>
      <c r="C19" s="17" t="s">
        <v>208</v>
      </c>
      <c r="D19" s="24">
        <v>0</v>
      </c>
      <c r="E19" s="356">
        <v>45000</v>
      </c>
      <c r="F19" s="37">
        <v>45000</v>
      </c>
      <c r="I19" s="15"/>
    </row>
    <row r="20" spans="1:11">
      <c r="A20" s="71" t="s">
        <v>202</v>
      </c>
      <c r="B20" s="17"/>
      <c r="C20" s="17" t="s">
        <v>209</v>
      </c>
      <c r="D20" s="24">
        <v>30000</v>
      </c>
      <c r="E20" s="356">
        <v>40000</v>
      </c>
      <c r="F20" s="37">
        <v>40000</v>
      </c>
      <c r="H20" s="26"/>
      <c r="I20" s="15"/>
    </row>
    <row r="21" spans="1:11">
      <c r="D21" s="70">
        <f>SUM(D15:D20)</f>
        <v>373571</v>
      </c>
      <c r="E21" s="350">
        <f>SUM(E15:E20)</f>
        <v>361949</v>
      </c>
      <c r="F21" s="70">
        <f>SUM(F15:F20)</f>
        <v>330000</v>
      </c>
      <c r="H21" s="26"/>
      <c r="I21" s="15"/>
    </row>
    <row r="22" spans="1:11">
      <c r="A22" s="15"/>
      <c r="B22" s="15"/>
      <c r="C22" s="67" t="s">
        <v>151</v>
      </c>
      <c r="D22" s="23"/>
      <c r="E22" s="346"/>
      <c r="F22" s="23"/>
      <c r="H22" s="15"/>
      <c r="I22" s="15"/>
      <c r="J22" s="27"/>
      <c r="K22" s="28"/>
    </row>
    <row r="23" spans="1:11">
      <c r="A23" s="15">
        <v>46000</v>
      </c>
      <c r="B23" s="15"/>
      <c r="C23" s="15" t="s">
        <v>210</v>
      </c>
      <c r="D23" s="23">
        <v>53110.14</v>
      </c>
      <c r="E23" s="346">
        <v>20627.919999999998</v>
      </c>
      <c r="F23" s="23">
        <v>50000</v>
      </c>
      <c r="H23" s="15"/>
      <c r="I23" s="15"/>
      <c r="J23" s="27"/>
      <c r="K23" s="28"/>
    </row>
    <row r="24" spans="1:11">
      <c r="A24" s="15">
        <v>48000</v>
      </c>
      <c r="B24" s="22"/>
      <c r="C24" s="15" t="s">
        <v>211</v>
      </c>
      <c r="D24" s="23">
        <v>369282.75</v>
      </c>
      <c r="E24" s="346">
        <f>522168.97-1080-350-750</f>
        <v>519988.97</v>
      </c>
      <c r="F24" s="23">
        <v>400000</v>
      </c>
      <c r="G24" s="23"/>
      <c r="H24" s="15"/>
      <c r="I24" s="15"/>
      <c r="J24" s="27"/>
      <c r="K24" s="28"/>
    </row>
    <row r="25" spans="1:11">
      <c r="A25" s="15">
        <v>5003</v>
      </c>
      <c r="B25" s="15"/>
      <c r="C25" s="105" t="s">
        <v>157</v>
      </c>
      <c r="D25" s="116">
        <f>874070.86-112415.82-17956.9+5189.85+124255.85+13958.92+357.92-2505.45-D39-Kompetanse!D118</f>
        <v>703768.49000000011</v>
      </c>
      <c r="E25" s="358">
        <v>617862.85564362002</v>
      </c>
      <c r="F25" s="116">
        <v>642000</v>
      </c>
      <c r="H25" s="23"/>
      <c r="I25" s="15"/>
    </row>
    <row r="26" spans="1:11">
      <c r="A26" s="15">
        <v>6990</v>
      </c>
      <c r="B26" s="15"/>
      <c r="C26" s="105" t="s">
        <v>158</v>
      </c>
      <c r="D26" s="116">
        <f>264053.87-41464.95-6623.46+1221.19+1914.29+45436.12+396.06+5148.79+132.02-924.14-D40-Kompetanse!D119</f>
        <v>202458.46999999997</v>
      </c>
      <c r="E26" s="358">
        <v>228836.42096683529</v>
      </c>
      <c r="F26" s="116">
        <v>246000</v>
      </c>
      <c r="H26" s="23"/>
      <c r="I26" s="15"/>
    </row>
    <row r="27" spans="1:11">
      <c r="A27" s="15"/>
      <c r="B27" s="15"/>
      <c r="C27" s="67"/>
      <c r="D27" s="70">
        <f>SUM(D23:D26)</f>
        <v>1328619.8500000001</v>
      </c>
      <c r="E27" s="350">
        <f>SUM(E23:E26)</f>
        <v>1387316.1666104551</v>
      </c>
      <c r="F27" s="70">
        <f>SUM(F23:F26)</f>
        <v>1338000</v>
      </c>
      <c r="H27" s="23"/>
      <c r="I27" s="23"/>
      <c r="J27" s="29"/>
      <c r="K27" s="29"/>
    </row>
    <row r="28" spans="1:11">
      <c r="A28" s="15"/>
      <c r="B28" s="15"/>
      <c r="C28" s="100" t="s">
        <v>93</v>
      </c>
      <c r="D28" s="101">
        <f>D21-D27</f>
        <v>-955048.85000000009</v>
      </c>
      <c r="E28" s="101">
        <f>E21-E27</f>
        <v>-1025367.1666104551</v>
      </c>
      <c r="F28" s="101">
        <f>F21-F27</f>
        <v>-1008000</v>
      </c>
      <c r="H28" s="15"/>
      <c r="I28" s="15"/>
      <c r="J28" s="29"/>
    </row>
    <row r="29" spans="1:11">
      <c r="A29" s="15"/>
      <c r="B29" s="15"/>
      <c r="C29" s="67"/>
      <c r="D29" s="68"/>
      <c r="E29" s="354"/>
      <c r="F29" s="15"/>
      <c r="H29" s="15"/>
      <c r="I29" s="15"/>
      <c r="J29" s="29"/>
    </row>
    <row r="30" spans="1:11">
      <c r="A30" s="15"/>
      <c r="B30" s="15"/>
      <c r="C30" s="67"/>
      <c r="D30" s="15"/>
      <c r="E30" s="346"/>
      <c r="F30" s="15"/>
      <c r="H30" s="15"/>
      <c r="I30" s="15"/>
      <c r="J30" s="29"/>
    </row>
    <row r="31" spans="1:11">
      <c r="A31" s="261">
        <v>49900</v>
      </c>
      <c r="B31" s="301"/>
      <c r="C31" s="261" t="s">
        <v>212</v>
      </c>
      <c r="D31" s="292" t="str">
        <f>'Budsjett 2024'!D$8</f>
        <v>Rekneskap 2023</v>
      </c>
      <c r="E31" s="357" t="str">
        <f>'Budsjett 2024'!E$8</f>
        <v>Reknskap 2024</v>
      </c>
      <c r="F31" s="292" t="str">
        <f>'Budsjett 2024'!F$8</f>
        <v>Budsjett 2024 rev. 2</v>
      </c>
      <c r="H31" s="15"/>
      <c r="I31" s="15"/>
    </row>
    <row r="32" spans="1:11">
      <c r="A32" s="32"/>
      <c r="B32" s="15"/>
      <c r="C32" s="67" t="s">
        <v>142</v>
      </c>
      <c r="D32" s="68"/>
      <c r="E32" s="354"/>
      <c r="F32" s="68"/>
    </row>
    <row r="33" spans="1:11">
      <c r="A33" s="32">
        <v>3400</v>
      </c>
      <c r="B33" s="15"/>
      <c r="C33" s="15" t="s">
        <v>213</v>
      </c>
      <c r="D33" s="24">
        <v>785209.5</v>
      </c>
      <c r="E33" s="356">
        <f>364329+423946.5</f>
        <v>788275.5</v>
      </c>
      <c r="F33" s="23">
        <v>900000</v>
      </c>
      <c r="G33" s="15" t="s">
        <v>214</v>
      </c>
      <c r="K33" s="26"/>
    </row>
    <row r="34" spans="1:11">
      <c r="A34" s="32">
        <v>3700</v>
      </c>
      <c r="B34" s="15"/>
      <c r="C34" s="15" t="s">
        <v>215</v>
      </c>
      <c r="D34" s="23">
        <v>0</v>
      </c>
      <c r="E34" s="346">
        <v>163811.84</v>
      </c>
      <c r="F34" s="23">
        <v>163811.84</v>
      </c>
    </row>
    <row r="35" spans="1:11">
      <c r="A35" s="229">
        <v>3401</v>
      </c>
      <c r="B35" s="71"/>
      <c r="C35" s="15" t="s">
        <v>216</v>
      </c>
      <c r="D35" s="222">
        <v>-720881.84</v>
      </c>
      <c r="E35" s="222">
        <v>-498724</v>
      </c>
      <c r="F35" s="23">
        <v>0</v>
      </c>
    </row>
    <row r="36" spans="1:11">
      <c r="A36" s="32"/>
      <c r="B36" s="15"/>
      <c r="C36" s="67"/>
      <c r="D36" s="68">
        <f>SUM(D33:D35)</f>
        <v>64327.660000000033</v>
      </c>
      <c r="E36" s="354">
        <f>SUM(E33:E35)</f>
        <v>453363.33999999997</v>
      </c>
      <c r="F36" s="68">
        <f>SUM(F33:F35)</f>
        <v>1063811.8400000001</v>
      </c>
    </row>
    <row r="37" spans="1:11">
      <c r="A37" s="32"/>
      <c r="B37" s="15"/>
      <c r="C37" s="67" t="s">
        <v>151</v>
      </c>
      <c r="D37" s="68"/>
      <c r="E37" s="354"/>
      <c r="F37" s="68"/>
    </row>
    <row r="38" spans="1:11">
      <c r="A38" s="32">
        <v>26900</v>
      </c>
      <c r="B38" s="15"/>
      <c r="C38" s="5" t="s">
        <v>164</v>
      </c>
      <c r="D38" s="23">
        <v>13099.42</v>
      </c>
      <c r="E38" s="346">
        <v>216458.92</v>
      </c>
      <c r="F38" s="23">
        <v>685812</v>
      </c>
    </row>
    <row r="39" spans="1:11">
      <c r="A39" s="15">
        <v>5003</v>
      </c>
      <c r="B39" s="15"/>
      <c r="C39" s="105" t="s">
        <v>157</v>
      </c>
      <c r="D39" s="116">
        <v>37424.199999999997</v>
      </c>
      <c r="E39" s="358">
        <v>161210.48000000001</v>
      </c>
      <c r="F39" s="116">
        <v>273000</v>
      </c>
      <c r="H39" s="23"/>
      <c r="I39" s="15"/>
    </row>
    <row r="40" spans="1:11">
      <c r="A40" s="15">
        <v>6990</v>
      </c>
      <c r="B40" s="15"/>
      <c r="C40" s="105" t="s">
        <v>158</v>
      </c>
      <c r="D40" s="116">
        <v>13804.04</v>
      </c>
      <c r="E40" s="358">
        <v>75693.899999999994</v>
      </c>
      <c r="F40" s="116">
        <v>105000</v>
      </c>
      <c r="H40" s="23"/>
      <c r="I40" s="15"/>
    </row>
    <row r="41" spans="1:11">
      <c r="D41" s="68">
        <f>SUM(D38:D40)</f>
        <v>64327.659999999996</v>
      </c>
      <c r="E41" s="354">
        <f>SUM(E38:E40)</f>
        <v>453363.30000000005</v>
      </c>
      <c r="F41" s="68">
        <f>SUM(F38:F40)</f>
        <v>1063812</v>
      </c>
    </row>
    <row r="42" spans="1:11">
      <c r="A42" s="15"/>
      <c r="B42" s="15"/>
      <c r="C42" s="100" t="s">
        <v>93</v>
      </c>
      <c r="D42" s="101">
        <f>D36-D41</f>
        <v>0</v>
      </c>
      <c r="E42" s="352">
        <f>E36-E41</f>
        <v>3.9999999920837581E-2</v>
      </c>
      <c r="F42" s="101">
        <f>F36-F41</f>
        <v>-0.15999999991618097</v>
      </c>
    </row>
    <row r="43" spans="1:11">
      <c r="A43" s="15"/>
      <c r="B43" s="15"/>
      <c r="C43" s="215" t="s">
        <v>198</v>
      </c>
      <c r="D43" s="26"/>
      <c r="F43" s="26">
        <f>'Lønns- og personalkostnader'!F15-Politikk!F7-Politikk!F25-Politikk!F39</f>
        <v>0</v>
      </c>
      <c r="H43" s="15"/>
      <c r="I43" s="15"/>
      <c r="J43" s="29"/>
    </row>
    <row r="44" spans="1:11">
      <c r="C44" s="25"/>
      <c r="H44" s="20"/>
      <c r="I44" s="20"/>
      <c r="J44" s="31"/>
    </row>
    <row r="45" spans="1:11">
      <c r="H45" s="20"/>
      <c r="I45" s="20"/>
      <c r="J45" s="31"/>
    </row>
    <row r="46" spans="1:11">
      <c r="H46" s="20"/>
      <c r="I46" s="20"/>
      <c r="J46" s="31"/>
    </row>
  </sheetData>
  <sheetProtection sheet="1" objects="1" scenarios="1" formatCells="0" formatColumns="0" formatRows="0" insertColumns="0" insertRows="0" insertHyperlinks="0" deleteColumns="0" deleteRows="0" sort="0" autoFilter="0" pivotTables="0"/>
  <phoneticPr fontId="7" type="noConversion"/>
  <pageMargins left="0.7" right="0.7" top="0.75" bottom="0.75" header="0.3" footer="0.3"/>
  <pageSetup paperSize="9" scale="7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8DB23-9CD2-41B0-8A8B-092571D081AE}">
  <sheetPr codeName="Ark5">
    <tabColor theme="4" tint="0.59999389629810485"/>
    <pageSetUpPr fitToPage="1"/>
  </sheetPr>
  <dimension ref="A1:H91"/>
  <sheetViews>
    <sheetView showGridLines="0" tabSelected="1" zoomScale="120" zoomScaleNormal="120" workbookViewId="0">
      <selection activeCell="G65" sqref="G65"/>
    </sheetView>
  </sheetViews>
  <sheetFormatPr defaultColWidth="11.42578125" defaultRowHeight="17.25"/>
  <cols>
    <col min="1" max="1" width="11.7109375" style="2" customWidth="1"/>
    <col min="2" max="2" width="5.28515625" style="2" customWidth="1"/>
    <col min="3" max="3" width="65.85546875" style="2" bestFit="1" customWidth="1"/>
    <col min="4" max="4" width="25.28515625" style="2" customWidth="1"/>
    <col min="5" max="5" width="17.5703125" style="345" bestFit="1" customWidth="1"/>
    <col min="6" max="6" width="25.28515625" style="2" customWidth="1"/>
    <col min="7" max="7" width="66.140625" style="15" customWidth="1"/>
    <col min="8" max="16384" width="11.42578125" style="2"/>
  </cols>
  <sheetData>
    <row r="1" spans="1:8" ht="21">
      <c r="A1" s="91" t="s">
        <v>54</v>
      </c>
      <c r="B1" s="91"/>
    </row>
    <row r="2" spans="1:8">
      <c r="D2" s="69"/>
      <c r="E2" s="355"/>
    </row>
    <row r="3" spans="1:8">
      <c r="A3" s="72" t="s">
        <v>90</v>
      </c>
      <c r="B3" s="94"/>
      <c r="C3" s="109"/>
      <c r="D3" s="108"/>
      <c r="E3" s="371"/>
    </row>
    <row r="4" spans="1:8">
      <c r="A4" s="296">
        <v>23000</v>
      </c>
      <c r="B4" s="296"/>
      <c r="C4" s="296" t="s">
        <v>217</v>
      </c>
      <c r="D4" s="291" t="str">
        <f>'Budsjett 2024'!D$8</f>
        <v>Rekneskap 2023</v>
      </c>
      <c r="E4" s="372" t="str">
        <f>'Budsjett 2024'!E$8</f>
        <v>Reknskap 2024</v>
      </c>
      <c r="F4" s="291" t="str">
        <f>'Budsjett 2024'!F$8</f>
        <v>Budsjett 2024 rev. 2</v>
      </c>
    </row>
    <row r="5" spans="1:8">
      <c r="A5" s="67"/>
      <c r="B5" s="67"/>
      <c r="C5" s="67" t="s">
        <v>142</v>
      </c>
      <c r="D5" s="68"/>
      <c r="E5" s="354"/>
      <c r="F5" s="68"/>
    </row>
    <row r="6" spans="1:8">
      <c r="A6" s="15">
        <v>3410</v>
      </c>
      <c r="B6" s="15"/>
      <c r="C6" s="15" t="s">
        <v>218</v>
      </c>
      <c r="D6" s="24">
        <f>4400000-35587.91</f>
        <v>4364412.09</v>
      </c>
      <c r="E6" s="356">
        <v>5000000</v>
      </c>
      <c r="F6" s="24">
        <v>5000000</v>
      </c>
    </row>
    <row r="7" spans="1:8">
      <c r="A7" s="15">
        <v>3401</v>
      </c>
      <c r="B7" s="15"/>
      <c r="C7" s="15" t="s">
        <v>161</v>
      </c>
      <c r="D7" s="24">
        <v>0</v>
      </c>
      <c r="E7" s="356">
        <v>0</v>
      </c>
      <c r="F7" s="24">
        <v>0</v>
      </c>
    </row>
    <row r="8" spans="1:8">
      <c r="A8" s="71">
        <v>3700</v>
      </c>
      <c r="B8" s="71"/>
      <c r="C8" s="15" t="s">
        <v>162</v>
      </c>
      <c r="D8" s="24">
        <v>113253</v>
      </c>
      <c r="E8" s="356">
        <v>0</v>
      </c>
      <c r="F8" s="24">
        <v>0</v>
      </c>
    </row>
    <row r="9" spans="1:8">
      <c r="A9" s="71"/>
      <c r="B9" s="71"/>
      <c r="C9" s="15" t="s">
        <v>219</v>
      </c>
      <c r="D9" s="24">
        <v>58739.63</v>
      </c>
      <c r="E9" s="356">
        <v>0</v>
      </c>
      <c r="F9" s="24">
        <v>0</v>
      </c>
    </row>
    <row r="10" spans="1:8">
      <c r="A10" s="67"/>
      <c r="B10" s="67"/>
      <c r="C10" s="67"/>
      <c r="D10" s="68">
        <f>SUM(D6:D9)</f>
        <v>4536404.72</v>
      </c>
      <c r="E10" s="354">
        <f>SUM(E6:E9)</f>
        <v>5000000</v>
      </c>
      <c r="F10" s="68">
        <f>SUM(F6:F9)</f>
        <v>5000000</v>
      </c>
    </row>
    <row r="11" spans="1:8">
      <c r="A11" s="67"/>
      <c r="B11" s="67"/>
      <c r="C11" s="67" t="s">
        <v>151</v>
      </c>
      <c r="D11" s="68"/>
      <c r="E11" s="354"/>
      <c r="F11" s="68"/>
    </row>
    <row r="12" spans="1:8">
      <c r="A12" s="15"/>
      <c r="B12" s="15"/>
      <c r="C12" s="15" t="s">
        <v>220</v>
      </c>
      <c r="D12" s="23">
        <f>172099.58+2235</f>
        <v>174334.58</v>
      </c>
      <c r="E12" s="346">
        <v>187279.15</v>
      </c>
      <c r="F12" s="23">
        <v>150000</v>
      </c>
      <c r="G12" s="25"/>
      <c r="H12" s="6"/>
    </row>
    <row r="13" spans="1:8">
      <c r="A13" s="15">
        <v>6553</v>
      </c>
      <c r="B13" s="15"/>
      <c r="C13" s="117" t="s">
        <v>221</v>
      </c>
      <c r="D13" s="118">
        <f>322126.74-2235</f>
        <v>319891.74</v>
      </c>
      <c r="E13" s="367">
        <v>292802.82</v>
      </c>
      <c r="F13" s="118">
        <v>340000</v>
      </c>
      <c r="G13" s="23"/>
    </row>
    <row r="14" spans="1:8">
      <c r="A14" s="15">
        <v>5003</v>
      </c>
      <c r="B14" s="15"/>
      <c r="C14" s="117" t="s">
        <v>157</v>
      </c>
      <c r="D14" s="118">
        <f>853558.33+268352.02+1629215.26+301060.15+3400.25-13958.92-3489.73</f>
        <v>3038137.3600000003</v>
      </c>
      <c r="E14" s="367">
        <v>3519172.99</v>
      </c>
      <c r="F14" s="118">
        <v>3499000</v>
      </c>
      <c r="G14" s="36"/>
    </row>
    <row r="15" spans="1:8">
      <c r="A15" s="15">
        <v>6990</v>
      </c>
      <c r="B15" s="15"/>
      <c r="C15" s="117" t="s">
        <v>158</v>
      </c>
      <c r="D15" s="118">
        <f>281955.83+89509.79+539296.46+98460.76+1254.19-5148.79-1287.2</f>
        <v>1004041.0399999999</v>
      </c>
      <c r="E15" s="367">
        <v>1420882.8</v>
      </c>
      <c r="F15" s="118">
        <v>1375000</v>
      </c>
    </row>
    <row r="16" spans="1:8">
      <c r="A16" s="34"/>
      <c r="B16" s="34"/>
      <c r="C16" s="34"/>
      <c r="D16" s="68">
        <f>SUM(D12:D15)</f>
        <v>4536404.72</v>
      </c>
      <c r="E16" s="354">
        <f>SUM(E12:E15)</f>
        <v>5420137.7599999998</v>
      </c>
      <c r="F16" s="68">
        <f>SUM(F12:F15)</f>
        <v>5364000</v>
      </c>
    </row>
    <row r="17" spans="1:7" ht="18" thickBot="1">
      <c r="A17" s="15"/>
      <c r="B17" s="15"/>
      <c r="C17" s="100" t="s">
        <v>93</v>
      </c>
      <c r="D17" s="101">
        <f>D10-D16</f>
        <v>0</v>
      </c>
      <c r="E17" s="373">
        <f>E10-E16</f>
        <v>-420137.75999999978</v>
      </c>
      <c r="F17" s="101">
        <f>F10-F16</f>
        <v>-364000</v>
      </c>
      <c r="G17" s="311"/>
    </row>
    <row r="18" spans="1:7">
      <c r="A18" s="34"/>
      <c r="B18" s="34"/>
      <c r="C18" s="34"/>
      <c r="D18" s="68"/>
      <c r="E18" s="354"/>
      <c r="F18" s="68"/>
    </row>
    <row r="19" spans="1:7">
      <c r="A19" s="15"/>
      <c r="B19" s="15"/>
      <c r="C19" s="15"/>
      <c r="D19" s="24"/>
      <c r="E19" s="356"/>
    </row>
    <row r="20" spans="1:7">
      <c r="A20" s="296">
        <v>25000</v>
      </c>
      <c r="B20" s="296"/>
      <c r="C20" s="296" t="s">
        <v>222</v>
      </c>
      <c r="D20" s="291" t="str">
        <f>'Budsjett 2024'!D$8</f>
        <v>Rekneskap 2023</v>
      </c>
      <c r="E20" s="372" t="str">
        <f>'Budsjett 2024'!E$8</f>
        <v>Reknskap 2024</v>
      </c>
      <c r="F20" s="291" t="str">
        <f>'Budsjett 2024'!F$8</f>
        <v>Budsjett 2024 rev. 2</v>
      </c>
    </row>
    <row r="21" spans="1:7">
      <c r="C21" s="67" t="s">
        <v>142</v>
      </c>
      <c r="D21" s="33"/>
      <c r="E21" s="346"/>
      <c r="F21" s="24"/>
    </row>
    <row r="22" spans="1:7">
      <c r="A22" s="15">
        <v>3410</v>
      </c>
      <c r="B22" s="15"/>
      <c r="C22" s="15" t="s">
        <v>223</v>
      </c>
      <c r="D22" s="24">
        <v>650000</v>
      </c>
      <c r="E22" s="356">
        <v>650000</v>
      </c>
      <c r="F22" s="24">
        <v>650000</v>
      </c>
    </row>
    <row r="23" spans="1:7">
      <c r="A23" s="71">
        <v>3700</v>
      </c>
      <c r="B23" s="71"/>
      <c r="C23" s="15" t="s">
        <v>161</v>
      </c>
      <c r="D23" s="24">
        <v>0</v>
      </c>
      <c r="E23" s="356">
        <v>14495.73</v>
      </c>
      <c r="F23" s="24">
        <v>14495.73</v>
      </c>
    </row>
    <row r="24" spans="1:7">
      <c r="A24" s="15">
        <v>3401</v>
      </c>
      <c r="B24" s="15"/>
      <c r="C24" s="15" t="s">
        <v>162</v>
      </c>
      <c r="D24" s="222">
        <v>-14495.73</v>
      </c>
      <c r="E24" s="356">
        <v>0</v>
      </c>
      <c r="F24" s="24">
        <v>0</v>
      </c>
    </row>
    <row r="25" spans="1:7">
      <c r="A25" s="15"/>
      <c r="B25" s="15"/>
      <c r="C25" s="15"/>
      <c r="D25" s="68">
        <f>SUM(D22:D24)</f>
        <v>635504.27</v>
      </c>
      <c r="E25" s="354">
        <f>SUM(E22:E24)</f>
        <v>664495.73</v>
      </c>
      <c r="F25" s="68">
        <f>SUM(F22:F24)</f>
        <v>664495.73</v>
      </c>
    </row>
    <row r="26" spans="1:7">
      <c r="C26" s="67" t="s">
        <v>151</v>
      </c>
      <c r="D26" s="33"/>
      <c r="E26" s="346"/>
      <c r="F26" s="24"/>
    </row>
    <row r="27" spans="1:7">
      <c r="C27" s="15" t="s">
        <v>220</v>
      </c>
      <c r="D27" s="24">
        <v>13122.8</v>
      </c>
      <c r="E27" s="356">
        <v>38120.699999999997</v>
      </c>
      <c r="F27" s="24">
        <v>20000</v>
      </c>
      <c r="G27" s="15" t="s">
        <v>224</v>
      </c>
    </row>
    <row r="28" spans="1:7">
      <c r="A28" s="15">
        <v>6553</v>
      </c>
      <c r="B28" s="15"/>
      <c r="C28" s="117" t="s">
        <v>221</v>
      </c>
      <c r="D28" s="118">
        <v>35206.22</v>
      </c>
      <c r="E28" s="367">
        <v>31345.94</v>
      </c>
      <c r="F28" s="118">
        <v>48000</v>
      </c>
    </row>
    <row r="29" spans="1:7">
      <c r="A29" s="15">
        <v>5003</v>
      </c>
      <c r="B29" s="15"/>
      <c r="C29" s="117" t="s">
        <v>157</v>
      </c>
      <c r="D29" s="118">
        <v>441721.85</v>
      </c>
      <c r="E29" s="367">
        <v>475035.5</v>
      </c>
      <c r="F29" s="118">
        <v>497000</v>
      </c>
    </row>
    <row r="30" spans="1:7">
      <c r="A30" s="15">
        <v>6990</v>
      </c>
      <c r="B30" s="15"/>
      <c r="C30" s="117" t="s">
        <v>158</v>
      </c>
      <c r="D30" s="118">
        <v>145453.4</v>
      </c>
      <c r="E30" s="367">
        <v>191789.48</v>
      </c>
      <c r="F30" s="118">
        <v>195000</v>
      </c>
    </row>
    <row r="31" spans="1:7">
      <c r="A31" s="15"/>
      <c r="B31" s="15"/>
      <c r="D31" s="68">
        <f>SUM(D27:D30)</f>
        <v>635504.27</v>
      </c>
      <c r="E31" s="354">
        <f>SUM(E27:E30)</f>
        <v>736291.62</v>
      </c>
      <c r="F31" s="68">
        <f>SUM(F27:F30)</f>
        <v>760000</v>
      </c>
    </row>
    <row r="32" spans="1:7" ht="18" thickBot="1">
      <c r="A32" s="15"/>
      <c r="B32" s="15"/>
      <c r="C32" s="100" t="s">
        <v>93</v>
      </c>
      <c r="D32" s="101">
        <f>D25-D31</f>
        <v>0</v>
      </c>
      <c r="E32" s="373">
        <f>E25-E31</f>
        <v>-71795.890000000014</v>
      </c>
      <c r="F32" s="101">
        <f>F25-F31</f>
        <v>-95504.270000000019</v>
      </c>
    </row>
    <row r="33" spans="1:7">
      <c r="A33" s="15"/>
      <c r="B33" s="15"/>
      <c r="C33" s="67"/>
      <c r="D33" s="68"/>
      <c r="E33" s="354"/>
      <c r="F33" s="68"/>
    </row>
    <row r="34" spans="1:7">
      <c r="A34" s="15"/>
      <c r="B34" s="15"/>
    </row>
    <row r="35" spans="1:7">
      <c r="A35" s="296">
        <v>24000</v>
      </c>
      <c r="B35" s="296"/>
      <c r="C35" s="296" t="s">
        <v>225</v>
      </c>
      <c r="D35" s="291" t="str">
        <f>'Budsjett 2024'!D$8</f>
        <v>Rekneskap 2023</v>
      </c>
      <c r="E35" s="372" t="str">
        <f>'Budsjett 2024'!E$8</f>
        <v>Reknskap 2024</v>
      </c>
      <c r="F35" s="291" t="str">
        <f>'Budsjett 2024'!F$8</f>
        <v>Budsjett 2024 rev. 2</v>
      </c>
    </row>
    <row r="36" spans="1:7">
      <c r="C36" s="67" t="s">
        <v>142</v>
      </c>
    </row>
    <row r="37" spans="1:7">
      <c r="A37" s="71">
        <v>3410</v>
      </c>
      <c r="B37" s="71"/>
      <c r="C37" s="15" t="s">
        <v>226</v>
      </c>
      <c r="D37" s="38">
        <f>400000+35587.91</f>
        <v>435587.91000000003</v>
      </c>
      <c r="E37" s="349">
        <v>500000</v>
      </c>
      <c r="F37" s="24">
        <v>500000</v>
      </c>
    </row>
    <row r="38" spans="1:7">
      <c r="A38" s="71">
        <v>3401</v>
      </c>
      <c r="B38" s="71"/>
      <c r="C38" s="15" t="s">
        <v>227</v>
      </c>
      <c r="D38" s="38">
        <v>0</v>
      </c>
      <c r="E38" s="349">
        <v>0</v>
      </c>
      <c r="F38" s="38">
        <v>0</v>
      </c>
    </row>
    <row r="39" spans="1:7">
      <c r="D39" s="68">
        <f>SUM(D37:D38)</f>
        <v>435587.91000000003</v>
      </c>
      <c r="E39" s="354">
        <f>SUM(E37:E38)</f>
        <v>500000</v>
      </c>
      <c r="F39" s="68">
        <f>SUM(F37:F38)</f>
        <v>500000</v>
      </c>
    </row>
    <row r="40" spans="1:7">
      <c r="C40" s="67" t="s">
        <v>151</v>
      </c>
    </row>
    <row r="41" spans="1:7">
      <c r="C41" s="15" t="s">
        <v>220</v>
      </c>
      <c r="D41" s="24">
        <v>15270.86</v>
      </c>
      <c r="E41" s="356">
        <v>42935.94</v>
      </c>
      <c r="F41" s="24">
        <v>25000</v>
      </c>
      <c r="G41" s="382" t="s">
        <v>224</v>
      </c>
    </row>
    <row r="42" spans="1:7">
      <c r="A42" s="15">
        <v>6553</v>
      </c>
      <c r="B42" s="15"/>
      <c r="C42" s="117" t="s">
        <v>221</v>
      </c>
      <c r="D42" s="118">
        <v>37419.79</v>
      </c>
      <c r="E42" s="367">
        <v>25120.880000000001</v>
      </c>
      <c r="F42" s="118">
        <v>32000</v>
      </c>
    </row>
    <row r="43" spans="1:7">
      <c r="A43" s="15">
        <v>5003</v>
      </c>
      <c r="B43" s="15"/>
      <c r="C43" s="117" t="s">
        <v>157</v>
      </c>
      <c r="D43" s="118">
        <f>341744.37-1134.61</f>
        <v>340609.76</v>
      </c>
      <c r="E43" s="367">
        <v>371121.48</v>
      </c>
      <c r="F43" s="118">
        <v>324000</v>
      </c>
    </row>
    <row r="44" spans="1:7">
      <c r="A44" s="15">
        <v>6990</v>
      </c>
      <c r="B44" s="15"/>
      <c r="C44" s="117" t="s">
        <v>158</v>
      </c>
      <c r="D44" s="118">
        <f>114124.98-418.5</f>
        <v>113706.48</v>
      </c>
      <c r="E44" s="367">
        <v>149835.53</v>
      </c>
      <c r="F44" s="118">
        <v>127000</v>
      </c>
    </row>
    <row r="45" spans="1:7">
      <c r="A45" s="15"/>
      <c r="B45" s="15"/>
      <c r="C45" s="15"/>
      <c r="D45" s="68">
        <f>SUM(D41:D44)</f>
        <v>507006.89</v>
      </c>
      <c r="E45" s="354">
        <f>SUM(E41:E44)</f>
        <v>589013.82999999996</v>
      </c>
      <c r="F45" s="68">
        <f>SUM(F41:F44)</f>
        <v>508000</v>
      </c>
    </row>
    <row r="46" spans="1:7" ht="18" thickBot="1">
      <c r="A46" s="15"/>
      <c r="B46" s="15"/>
      <c r="C46" s="100" t="s">
        <v>93</v>
      </c>
      <c r="D46" s="101">
        <f>D39-D45</f>
        <v>-71418.979999999981</v>
      </c>
      <c r="E46" s="373">
        <f>E39-E45</f>
        <v>-89013.829999999958</v>
      </c>
      <c r="F46" s="101">
        <f>F39-F45</f>
        <v>-8000</v>
      </c>
    </row>
    <row r="47" spans="1:7">
      <c r="A47" s="15"/>
      <c r="B47" s="15"/>
      <c r="C47" s="15"/>
      <c r="D47" s="15"/>
      <c r="E47" s="346"/>
    </row>
    <row r="48" spans="1:7">
      <c r="A48" s="15"/>
      <c r="B48" s="15"/>
      <c r="C48" s="15"/>
      <c r="D48" s="15"/>
      <c r="E48" s="346"/>
    </row>
    <row r="49" spans="1:7">
      <c r="A49" s="296">
        <v>22000</v>
      </c>
      <c r="B49" s="296"/>
      <c r="C49" s="296" t="s">
        <v>228</v>
      </c>
      <c r="D49" s="291" t="str">
        <f>'Budsjett 2024'!D$8</f>
        <v>Rekneskap 2023</v>
      </c>
      <c r="E49" s="372" t="str">
        <f>'Budsjett 2024'!E$8</f>
        <v>Reknskap 2024</v>
      </c>
      <c r="F49" s="291" t="str">
        <f>'Budsjett 2024'!F$8</f>
        <v>Budsjett 2024 rev. 2</v>
      </c>
    </row>
    <row r="50" spans="1:7">
      <c r="C50" s="67" t="s">
        <v>142</v>
      </c>
    </row>
    <row r="51" spans="1:7">
      <c r="A51" s="15">
        <v>3410</v>
      </c>
      <c r="B51" s="15"/>
      <c r="C51" s="15" t="s">
        <v>229</v>
      </c>
      <c r="D51" s="24">
        <v>500000</v>
      </c>
      <c r="E51" s="356">
        <v>600000</v>
      </c>
      <c r="F51" s="24">
        <v>600000</v>
      </c>
    </row>
    <row r="52" spans="1:7">
      <c r="A52" s="71">
        <v>3401</v>
      </c>
      <c r="B52" s="71"/>
      <c r="C52" s="15" t="s">
        <v>227</v>
      </c>
      <c r="D52" s="24">
        <v>0</v>
      </c>
      <c r="E52" s="356">
        <v>0</v>
      </c>
      <c r="F52" s="24">
        <v>0</v>
      </c>
    </row>
    <row r="53" spans="1:7">
      <c r="D53" s="68">
        <f>SUM(D51:D52)</f>
        <v>500000</v>
      </c>
      <c r="E53" s="354">
        <f>SUM(E51:E52)</f>
        <v>600000</v>
      </c>
      <c r="F53" s="68">
        <f>SUM(F51:F52)</f>
        <v>600000</v>
      </c>
    </row>
    <row r="54" spans="1:7">
      <c r="C54" s="67" t="s">
        <v>151</v>
      </c>
      <c r="D54" s="24"/>
      <c r="E54" s="356"/>
      <c r="F54" s="24"/>
    </row>
    <row r="55" spans="1:7">
      <c r="C55" s="15" t="s">
        <v>220</v>
      </c>
      <c r="D55" s="24">
        <v>25414.720000000001</v>
      </c>
      <c r="E55" s="356">
        <v>45932.4</v>
      </c>
      <c r="F55" s="24">
        <v>25000</v>
      </c>
      <c r="G55" s="382" t="s">
        <v>224</v>
      </c>
    </row>
    <row r="56" spans="1:7">
      <c r="A56" s="15">
        <v>6553</v>
      </c>
      <c r="B56" s="15"/>
      <c r="C56" s="117" t="s">
        <v>221</v>
      </c>
      <c r="D56" s="118">
        <v>57194.3</v>
      </c>
      <c r="E56" s="367">
        <v>46307.92</v>
      </c>
      <c r="F56" s="118">
        <v>48000</v>
      </c>
    </row>
    <row r="57" spans="1:7">
      <c r="A57" s="15">
        <v>5003</v>
      </c>
      <c r="B57" s="15"/>
      <c r="C57" s="117" t="s">
        <v>157</v>
      </c>
      <c r="D57" s="118">
        <f>619805.33-2237.01</f>
        <v>617568.31999999995</v>
      </c>
      <c r="E57" s="367">
        <v>578949.51</v>
      </c>
      <c r="F57" s="118">
        <v>497000</v>
      </c>
    </row>
    <row r="58" spans="1:7">
      <c r="A58" s="15">
        <v>6990</v>
      </c>
      <c r="B58" s="15"/>
      <c r="C58" s="117" t="s">
        <v>158</v>
      </c>
      <c r="D58" s="118">
        <f>205872.51-825.13</f>
        <v>205047.38</v>
      </c>
      <c r="E58" s="367">
        <v>233743.42</v>
      </c>
      <c r="F58" s="118">
        <v>195000</v>
      </c>
    </row>
    <row r="59" spans="1:7">
      <c r="A59" s="15"/>
      <c r="B59" s="15"/>
      <c r="C59" s="15"/>
      <c r="D59" s="70">
        <f>SUM(D55:D58)</f>
        <v>905224.72</v>
      </c>
      <c r="E59" s="350">
        <f>SUM(E55:E58)</f>
        <v>904933.25000000012</v>
      </c>
      <c r="F59" s="70">
        <f>SUM(F55:F58)</f>
        <v>765000</v>
      </c>
    </row>
    <row r="60" spans="1:7" ht="18" thickBot="1">
      <c r="A60" s="15"/>
      <c r="B60" s="15"/>
      <c r="C60" s="100" t="s">
        <v>230</v>
      </c>
      <c r="D60" s="101">
        <f>D53-D59</f>
        <v>-405224.72</v>
      </c>
      <c r="E60" s="373">
        <f>E53-E59</f>
        <v>-304933.25000000012</v>
      </c>
      <c r="F60" s="101">
        <f>F53-F59</f>
        <v>-165000</v>
      </c>
      <c r="G60" s="311"/>
    </row>
    <row r="61" spans="1:7">
      <c r="A61" s="15"/>
      <c r="B61" s="15"/>
      <c r="C61" s="15"/>
      <c r="D61" s="15"/>
      <c r="E61" s="346"/>
    </row>
    <row r="62" spans="1:7">
      <c r="A62" s="15"/>
      <c r="B62" s="15"/>
      <c r="C62" s="15"/>
      <c r="D62" s="15"/>
      <c r="E62" s="346"/>
    </row>
    <row r="63" spans="1:7">
      <c r="A63" s="296">
        <v>60000</v>
      </c>
      <c r="B63" s="296"/>
      <c r="C63" s="296" t="s">
        <v>231</v>
      </c>
      <c r="D63" s="291" t="str">
        <f>'Budsjett 2024'!D$8</f>
        <v>Rekneskap 2023</v>
      </c>
      <c r="E63" s="372" t="str">
        <f>'Budsjett 2024'!E$8</f>
        <v>Reknskap 2024</v>
      </c>
      <c r="F63" s="291" t="str">
        <f>'Budsjett 2024'!F$8</f>
        <v>Budsjett 2024 rev. 2</v>
      </c>
    </row>
    <row r="64" spans="1:7">
      <c r="C64" s="67" t="s">
        <v>142</v>
      </c>
    </row>
    <row r="65" spans="1:7">
      <c r="A65" s="15">
        <v>3410</v>
      </c>
      <c r="B65" s="15"/>
      <c r="C65" s="15" t="s">
        <v>232</v>
      </c>
      <c r="D65" s="24">
        <f>203201+42751.83</f>
        <v>245952.83000000002</v>
      </c>
      <c r="E65" s="356">
        <v>333000</v>
      </c>
      <c r="F65" s="24">
        <v>333000</v>
      </c>
    </row>
    <row r="66" spans="1:7">
      <c r="C66" s="15"/>
      <c r="D66" s="68">
        <f>SUM(D65:D65)</f>
        <v>245952.83000000002</v>
      </c>
      <c r="E66" s="354">
        <f>SUM(E65:E65)</f>
        <v>333000</v>
      </c>
      <c r="F66" s="68">
        <f>SUM(F65:F65)</f>
        <v>333000</v>
      </c>
    </row>
    <row r="67" spans="1:7">
      <c r="C67" s="67" t="s">
        <v>151</v>
      </c>
      <c r="D67" s="24"/>
      <c r="E67" s="356"/>
      <c r="F67" s="24"/>
    </row>
    <row r="68" spans="1:7">
      <c r="C68" s="15" t="s">
        <v>220</v>
      </c>
      <c r="D68" s="24">
        <v>3015.66</v>
      </c>
      <c r="E68" s="356">
        <v>4901.7</v>
      </c>
      <c r="F68" s="24">
        <v>15000</v>
      </c>
    </row>
    <row r="69" spans="1:7">
      <c r="A69" s="15">
        <v>6553</v>
      </c>
      <c r="B69" s="15"/>
      <c r="C69" s="117" t="s">
        <v>221</v>
      </c>
      <c r="D69" s="118">
        <v>23990.83</v>
      </c>
      <c r="E69" s="367">
        <v>22390.59</v>
      </c>
      <c r="F69" s="118">
        <v>32000</v>
      </c>
    </row>
    <row r="70" spans="1:7">
      <c r="A70" s="15">
        <v>5003</v>
      </c>
      <c r="B70" s="15"/>
      <c r="C70" s="117" t="s">
        <v>157</v>
      </c>
      <c r="D70" s="118">
        <v>165240.47</v>
      </c>
      <c r="E70" s="367">
        <v>255374.9</v>
      </c>
      <c r="F70" s="118">
        <v>324000</v>
      </c>
    </row>
    <row r="71" spans="1:7">
      <c r="A71" s="15">
        <v>6990</v>
      </c>
      <c r="B71" s="15"/>
      <c r="C71" s="117" t="s">
        <v>158</v>
      </c>
      <c r="D71" s="118">
        <v>53705.87</v>
      </c>
      <c r="E71" s="367">
        <v>103302.54</v>
      </c>
      <c r="F71" s="118">
        <v>127000</v>
      </c>
    </row>
    <row r="72" spans="1:7">
      <c r="D72" s="68">
        <f>SUM(D68:D71)</f>
        <v>245952.83</v>
      </c>
      <c r="E72" s="354">
        <f>SUM(E68:E71)</f>
        <v>385969.73</v>
      </c>
      <c r="F72" s="68">
        <f>SUM(F68:F71)</f>
        <v>498000</v>
      </c>
    </row>
    <row r="73" spans="1:7" ht="18" thickBot="1">
      <c r="C73" s="100" t="s">
        <v>93</v>
      </c>
      <c r="D73" s="101">
        <f>D66-D72</f>
        <v>0</v>
      </c>
      <c r="E73" s="352">
        <f>E66-E72</f>
        <v>-52969.729999999981</v>
      </c>
      <c r="F73" s="101">
        <f>F66-F72</f>
        <v>-165000</v>
      </c>
      <c r="G73" s="380"/>
    </row>
    <row r="75" spans="1:7">
      <c r="C75" s="215"/>
      <c r="D75" s="26"/>
      <c r="F75" s="26"/>
    </row>
    <row r="76" spans="1:7">
      <c r="A76" s="296">
        <v>61500</v>
      </c>
      <c r="B76" s="296"/>
      <c r="C76" s="296" t="s">
        <v>233</v>
      </c>
      <c r="D76" s="291" t="str">
        <f>'Budsjett 2024'!D$8</f>
        <v>Rekneskap 2023</v>
      </c>
      <c r="E76" s="372" t="str">
        <f>'Budsjett 2024'!E$8</f>
        <v>Reknskap 2024</v>
      </c>
      <c r="F76" s="291" t="str">
        <f>'Budsjett 2024'!F$8</f>
        <v>Budsjett 2024 rev. 2</v>
      </c>
    </row>
    <row r="77" spans="1:7">
      <c r="C77" s="67" t="s">
        <v>142</v>
      </c>
    </row>
    <row r="78" spans="1:7">
      <c r="A78" s="15">
        <v>3410</v>
      </c>
      <c r="B78" s="15"/>
      <c r="C78" s="15" t="s">
        <v>234</v>
      </c>
      <c r="D78" s="24">
        <v>0</v>
      </c>
      <c r="E78" s="356">
        <v>276944.46999999997</v>
      </c>
      <c r="F78" s="24">
        <v>300000</v>
      </c>
    </row>
    <row r="79" spans="1:7">
      <c r="C79" s="15"/>
      <c r="D79" s="68">
        <f>SUM(D78:D78)</f>
        <v>0</v>
      </c>
      <c r="E79" s="354">
        <f>SUM(E78:E78)</f>
        <v>276944.46999999997</v>
      </c>
      <c r="F79" s="68">
        <f>SUM(F78:F78)</f>
        <v>300000</v>
      </c>
    </row>
    <row r="80" spans="1:7">
      <c r="C80" s="67" t="s">
        <v>151</v>
      </c>
      <c r="D80" s="24"/>
      <c r="E80" s="356"/>
      <c r="F80" s="24"/>
    </row>
    <row r="81" spans="1:8">
      <c r="C81" s="15" t="s">
        <v>235</v>
      </c>
      <c r="D81" s="24">
        <v>0</v>
      </c>
      <c r="E81" s="356">
        <v>136367.46</v>
      </c>
      <c r="F81" s="24">
        <v>200000</v>
      </c>
    </row>
    <row r="82" spans="1:8">
      <c r="A82" s="15">
        <v>5003</v>
      </c>
      <c r="B82" s="15"/>
      <c r="C82" s="117" t="s">
        <v>157</v>
      </c>
      <c r="D82" s="118">
        <v>0</v>
      </c>
      <c r="E82" s="367">
        <v>103914.02</v>
      </c>
      <c r="F82" s="118">
        <v>72000</v>
      </c>
    </row>
    <row r="83" spans="1:8">
      <c r="A83" s="15">
        <v>6990</v>
      </c>
      <c r="B83" s="15"/>
      <c r="C83" s="117" t="s">
        <v>158</v>
      </c>
      <c r="D83" s="118">
        <v>0</v>
      </c>
      <c r="E83" s="367">
        <v>41953.95</v>
      </c>
      <c r="F83" s="118">
        <v>28000</v>
      </c>
    </row>
    <row r="84" spans="1:8">
      <c r="D84" s="68">
        <f>SUM(D81:D83)</f>
        <v>0</v>
      </c>
      <c r="E84" s="354">
        <f>SUM(E81:E83)</f>
        <v>282235.43</v>
      </c>
      <c r="F84" s="68">
        <f>SUM(F81:F83)</f>
        <v>300000</v>
      </c>
      <c r="H84" s="219"/>
    </row>
    <row r="85" spans="1:8" ht="18" thickBot="1">
      <c r="C85" s="100" t="s">
        <v>93</v>
      </c>
      <c r="D85" s="101">
        <f>D79-D84</f>
        <v>0</v>
      </c>
      <c r="E85" s="352">
        <f>E79-E84</f>
        <v>-5290.960000000021</v>
      </c>
      <c r="F85" s="101">
        <f>F79-F84</f>
        <v>0</v>
      </c>
    </row>
    <row r="86" spans="1:8">
      <c r="C86" s="215"/>
      <c r="D86" s="26"/>
      <c r="F86" s="26"/>
    </row>
    <row r="87" spans="1:8">
      <c r="D87" s="68"/>
      <c r="E87" s="354"/>
      <c r="F87" s="68"/>
    </row>
    <row r="88" spans="1:8">
      <c r="A88" s="383">
        <v>73300</v>
      </c>
      <c r="B88" s="384"/>
      <c r="C88" s="385" t="s">
        <v>236</v>
      </c>
      <c r="D88" s="386"/>
      <c r="E88" s="387"/>
      <c r="F88" s="388"/>
    </row>
    <row r="89" spans="1:8">
      <c r="A89" s="208">
        <v>6553</v>
      </c>
      <c r="B89" s="209"/>
      <c r="C89" s="209" t="s">
        <v>237</v>
      </c>
      <c r="D89" s="202">
        <v>473702.88</v>
      </c>
      <c r="E89" s="374">
        <v>417968.16</v>
      </c>
      <c r="F89" s="297">
        <v>500000</v>
      </c>
      <c r="G89" s="15" t="s">
        <v>238</v>
      </c>
    </row>
    <row r="90" spans="1:8">
      <c r="A90" s="210"/>
      <c r="B90" s="211"/>
      <c r="C90" s="211"/>
      <c r="D90" s="212">
        <f>SUM(D89:D89)</f>
        <v>473702.88</v>
      </c>
      <c r="E90" s="375">
        <f>SUM(E89:E89)</f>
        <v>417968.16</v>
      </c>
      <c r="F90" s="213">
        <f>SUM(F89:F89)</f>
        <v>500000</v>
      </c>
    </row>
    <row r="91" spans="1:8">
      <c r="A91" s="2" t="s">
        <v>239</v>
      </c>
      <c r="D91" s="26"/>
      <c r="E91" s="353">
        <f>E89-(E13+E28+E42+E56+E69)</f>
        <v>9.9999999511055648E-3</v>
      </c>
      <c r="F91" s="35">
        <f>F89-(F13+F28+F42+F56+F69)</f>
        <v>0</v>
      </c>
    </row>
  </sheetData>
  <sheetProtection sheet="1" objects="1" scenarios="1" formatCells="0" formatColumns="0" formatRows="0" insertColumns="0" insertRows="0" insertHyperlinks="0" deleteColumns="0" deleteRows="0" sort="0" autoFilter="0" pivotTables="0"/>
  <phoneticPr fontId="7" type="noConversion"/>
  <pageMargins left="0.7" right="0.7" top="0.75" bottom="0.75" header="0.3" footer="0.3"/>
  <pageSetup paperSize="9" scale="6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59427-A446-442E-AF8E-CCE29C09BC20}">
  <sheetPr codeName="Ark6">
    <tabColor theme="2" tint="-9.9978637043366805E-2"/>
    <pageSetUpPr fitToPage="1"/>
  </sheetPr>
  <dimension ref="A1:K27"/>
  <sheetViews>
    <sheetView showGridLines="0" zoomScale="97" zoomScaleNormal="150" workbookViewId="0">
      <selection activeCell="E12" sqref="E12"/>
    </sheetView>
  </sheetViews>
  <sheetFormatPr defaultColWidth="11.42578125" defaultRowHeight="17.25"/>
  <cols>
    <col min="1" max="1" width="11.7109375" style="2" customWidth="1"/>
    <col min="2" max="2" width="5.28515625" style="2" customWidth="1"/>
    <col min="3" max="3" width="65.85546875" style="2" bestFit="1" customWidth="1"/>
    <col min="4" max="4" width="25.28515625" style="2" customWidth="1"/>
    <col min="5" max="5" width="25.28515625" style="345" customWidth="1"/>
    <col min="6" max="6" width="25.28515625" style="2" customWidth="1"/>
    <col min="7" max="7" width="65.85546875" style="15" bestFit="1" customWidth="1"/>
    <col min="8" max="16384" width="11.42578125" style="2"/>
  </cols>
  <sheetData>
    <row r="1" spans="1:11" ht="21">
      <c r="A1" s="91" t="s">
        <v>67</v>
      </c>
      <c r="B1" s="14"/>
      <c r="C1" s="15"/>
      <c r="D1" s="15"/>
      <c r="E1" s="346"/>
    </row>
    <row r="2" spans="1:11">
      <c r="A2" s="15"/>
      <c r="B2" s="15"/>
      <c r="C2" s="15"/>
      <c r="D2" s="15"/>
      <c r="E2" s="346"/>
    </row>
    <row r="3" spans="1:11">
      <c r="A3" s="72" t="s">
        <v>90</v>
      </c>
      <c r="B3" s="22"/>
      <c r="C3" s="15"/>
      <c r="D3" s="15"/>
      <c r="E3" s="346"/>
    </row>
    <row r="4" spans="1:11">
      <c r="A4" s="262"/>
      <c r="B4" s="262"/>
      <c r="C4" s="302" t="s">
        <v>240</v>
      </c>
      <c r="D4" s="290" t="str">
        <f>'Budsjett 2024'!D$8</f>
        <v>Rekneskap 2023</v>
      </c>
      <c r="E4" s="376" t="str">
        <f>'Budsjett 2024'!E$8</f>
        <v>Reknskap 2024</v>
      </c>
      <c r="F4" s="290" t="str">
        <f>'Budsjett 2024'!F$8</f>
        <v>Budsjett 2024 rev. 2</v>
      </c>
    </row>
    <row r="5" spans="1:11">
      <c r="A5" s="22"/>
      <c r="B5" s="22"/>
      <c r="C5" s="67" t="s">
        <v>151</v>
      </c>
      <c r="D5" s="112"/>
      <c r="E5" s="350"/>
      <c r="F5" s="112"/>
    </row>
    <row r="6" spans="1:11">
      <c r="A6" s="113">
        <v>81000</v>
      </c>
      <c r="B6" s="86"/>
      <c r="C6" s="87" t="s">
        <v>241</v>
      </c>
      <c r="D6" s="16">
        <v>82502.27</v>
      </c>
      <c r="E6" s="377">
        <v>86529.069999999992</v>
      </c>
      <c r="F6" s="7">
        <v>85000</v>
      </c>
    </row>
    <row r="7" spans="1:11">
      <c r="A7" s="113">
        <v>82000</v>
      </c>
      <c r="B7" s="86"/>
      <c r="C7" s="87" t="s">
        <v>242</v>
      </c>
      <c r="D7" s="16">
        <v>2814</v>
      </c>
      <c r="E7" s="377">
        <v>2833.75</v>
      </c>
      <c r="F7" s="7">
        <v>20000</v>
      </c>
      <c r="G7" s="7" t="s">
        <v>243</v>
      </c>
    </row>
    <row r="8" spans="1:11">
      <c r="A8" s="113">
        <v>86000</v>
      </c>
      <c r="B8" s="86"/>
      <c r="C8" s="5" t="s">
        <v>244</v>
      </c>
      <c r="D8" s="16">
        <v>44865.09</v>
      </c>
      <c r="E8" s="377">
        <v>41854.74</v>
      </c>
      <c r="F8" s="7">
        <v>40000</v>
      </c>
    </row>
    <row r="9" spans="1:11">
      <c r="A9" s="71">
        <v>5003</v>
      </c>
      <c r="B9" s="15"/>
      <c r="C9" s="119" t="s">
        <v>157</v>
      </c>
      <c r="D9" s="120">
        <f>1522008.87-6979.46-5189.85-3937.13-2684.41</f>
        <v>1503218.0200000003</v>
      </c>
      <c r="E9" s="378">
        <v>1633253.4843676221</v>
      </c>
      <c r="F9" s="122">
        <f>ROUND('Lønns- og personalkostnader'!F32*Årsverk_Komm/Årsverk_KOMMUNIKASJON,-3)</f>
        <v>1366000</v>
      </c>
      <c r="G9" s="15" t="s">
        <v>245</v>
      </c>
      <c r="H9" s="20"/>
    </row>
    <row r="10" spans="1:11">
      <c r="A10" s="71">
        <v>6990</v>
      </c>
      <c r="B10" s="15"/>
      <c r="C10" s="119" t="s">
        <v>158</v>
      </c>
      <c r="D10" s="120">
        <f>487828.33-2574.4-1914.29-1452.22-990.15</f>
        <v>480897.27</v>
      </c>
      <c r="E10" s="378">
        <v>656279.6143338955</v>
      </c>
      <c r="F10" s="120">
        <f>ROUND('Fordelte felleskostnader'!F34*Årsverk_Komm/Årsverk_TOTALT,-3)</f>
        <v>654000</v>
      </c>
      <c r="H10" s="15"/>
    </row>
    <row r="11" spans="1:11">
      <c r="A11" s="15"/>
      <c r="B11" s="15"/>
      <c r="C11" s="22"/>
      <c r="D11" s="68">
        <f>SUM(D6:D10)</f>
        <v>2114296.6500000004</v>
      </c>
      <c r="E11" s="354">
        <f>SUM(E6:E10)</f>
        <v>2420750.6587015176</v>
      </c>
      <c r="F11" s="68">
        <f>SUM(F6:F10)</f>
        <v>2165000</v>
      </c>
      <c r="H11" s="15"/>
    </row>
    <row r="12" spans="1:11" ht="18" thickBot="1">
      <c r="A12" s="15"/>
      <c r="B12" s="15"/>
      <c r="C12" s="100" t="s">
        <v>93</v>
      </c>
      <c r="D12" s="101">
        <f>-D11</f>
        <v>-2114296.6500000004</v>
      </c>
      <c r="E12" s="101">
        <f>-E11</f>
        <v>-2420750.6587015176</v>
      </c>
      <c r="F12" s="101">
        <f>-F11</f>
        <v>-2165000</v>
      </c>
      <c r="H12" s="21"/>
    </row>
    <row r="13" spans="1:11">
      <c r="A13" s="15"/>
      <c r="B13" s="15"/>
      <c r="C13" s="67"/>
      <c r="D13" s="68"/>
      <c r="E13" s="354"/>
      <c r="G13" s="25"/>
      <c r="H13" s="21"/>
    </row>
    <row r="14" spans="1:11">
      <c r="A14" s="15"/>
      <c r="B14" s="15"/>
      <c r="C14" s="15"/>
      <c r="D14" s="15"/>
      <c r="E14" s="346"/>
      <c r="G14" s="23"/>
      <c r="H14" s="15"/>
      <c r="J14" s="19"/>
      <c r="K14" s="19"/>
    </row>
    <row r="15" spans="1:11">
      <c r="A15" s="302">
        <v>26700</v>
      </c>
      <c r="B15" s="302"/>
      <c r="C15" s="302" t="s">
        <v>246</v>
      </c>
      <c r="D15" s="290" t="str">
        <f>'Budsjett 2024'!D$8</f>
        <v>Rekneskap 2023</v>
      </c>
      <c r="E15" s="376" t="str">
        <f>'Budsjett 2024'!E$8</f>
        <v>Reknskap 2024</v>
      </c>
      <c r="F15" s="290" t="str">
        <f>'Budsjett 2024'!F$8</f>
        <v>Budsjett 2024 rev. 2</v>
      </c>
      <c r="G15" s="36" t="s">
        <v>247</v>
      </c>
    </row>
    <row r="16" spans="1:11">
      <c r="A16" s="15"/>
      <c r="B16" s="15"/>
      <c r="C16" s="67" t="s">
        <v>142</v>
      </c>
      <c r="D16" s="68"/>
      <c r="E16" s="354"/>
      <c r="F16" s="68"/>
    </row>
    <row r="17" spans="1:6">
      <c r="A17" s="15">
        <v>3400</v>
      </c>
      <c r="B17" s="15"/>
      <c r="C17" s="15" t="s">
        <v>248</v>
      </c>
      <c r="D17" s="23">
        <v>0</v>
      </c>
      <c r="E17" s="346">
        <v>0</v>
      </c>
      <c r="F17" s="23">
        <v>0</v>
      </c>
    </row>
    <row r="18" spans="1:6">
      <c r="A18" s="15">
        <v>3400</v>
      </c>
      <c r="B18" s="15"/>
      <c r="C18" s="15" t="s">
        <v>249</v>
      </c>
      <c r="D18" s="69">
        <v>-5619.93</v>
      </c>
      <c r="E18" s="346">
        <v>0</v>
      </c>
      <c r="F18" s="23">
        <v>0</v>
      </c>
    </row>
    <row r="19" spans="1:6">
      <c r="A19" s="15"/>
      <c r="B19" s="15"/>
      <c r="C19" s="15" t="s">
        <v>250</v>
      </c>
      <c r="D19" s="23">
        <v>0</v>
      </c>
      <c r="E19" s="346">
        <v>0</v>
      </c>
      <c r="F19" s="23">
        <v>0</v>
      </c>
    </row>
    <row r="20" spans="1:6">
      <c r="A20" s="15"/>
      <c r="B20" s="15"/>
      <c r="C20" s="67"/>
      <c r="D20" s="68">
        <f>SUM(D17:D19)</f>
        <v>-5619.93</v>
      </c>
      <c r="E20" s="354">
        <f>SUM(E17:E19)</f>
        <v>0</v>
      </c>
      <c r="F20" s="68">
        <f>SUM(F17:F19)</f>
        <v>0</v>
      </c>
    </row>
    <row r="21" spans="1:6">
      <c r="A21" s="15"/>
      <c r="B21" s="15"/>
      <c r="C21" s="67" t="s">
        <v>151</v>
      </c>
      <c r="D21" s="68"/>
      <c r="E21" s="354"/>
      <c r="F21" s="68"/>
    </row>
    <row r="22" spans="1:6">
      <c r="A22" s="15"/>
      <c r="B22" s="15"/>
      <c r="C22" s="5" t="s">
        <v>251</v>
      </c>
      <c r="D22" s="33">
        <v>0</v>
      </c>
      <c r="E22" s="346">
        <v>0</v>
      </c>
      <c r="F22" s="23">
        <f>F17+F18</f>
        <v>0</v>
      </c>
    </row>
    <row r="23" spans="1:6">
      <c r="A23" s="15"/>
      <c r="B23" s="15"/>
      <c r="C23" s="5" t="s">
        <v>252</v>
      </c>
      <c r="D23" s="33">
        <v>0</v>
      </c>
      <c r="E23" s="346">
        <v>0</v>
      </c>
      <c r="F23" s="23">
        <f>F18+F19</f>
        <v>0</v>
      </c>
    </row>
    <row r="24" spans="1:6">
      <c r="A24" s="15">
        <v>5003</v>
      </c>
      <c r="B24" s="15"/>
      <c r="C24" s="232" t="s">
        <v>157</v>
      </c>
      <c r="D24" s="233">
        <v>0</v>
      </c>
      <c r="E24" s="379">
        <v>0</v>
      </c>
      <c r="F24" s="233">
        <v>0</v>
      </c>
    </row>
    <row r="25" spans="1:6">
      <c r="A25" s="15">
        <v>6990</v>
      </c>
      <c r="B25" s="15"/>
      <c r="C25" s="232" t="s">
        <v>158</v>
      </c>
      <c r="D25" s="233">
        <v>0</v>
      </c>
      <c r="E25" s="379">
        <v>0</v>
      </c>
      <c r="F25" s="233">
        <v>0</v>
      </c>
    </row>
    <row r="26" spans="1:6">
      <c r="D26" s="68">
        <f>SUM(D22:D25)</f>
        <v>0</v>
      </c>
      <c r="E26" s="354">
        <f>SUM(E22:E25)</f>
        <v>0</v>
      </c>
      <c r="F26" s="68">
        <f>SUM(F22:F25)</f>
        <v>0</v>
      </c>
    </row>
    <row r="27" spans="1:6" ht="18" thickBot="1">
      <c r="A27" s="15"/>
      <c r="B27" s="15"/>
      <c r="C27" s="100" t="s">
        <v>93</v>
      </c>
      <c r="D27" s="101">
        <f>D20-D26</f>
        <v>-5619.93</v>
      </c>
      <c r="E27" s="352">
        <f>E20-E26</f>
        <v>0</v>
      </c>
      <c r="F27" s="101">
        <f>F20-F26</f>
        <v>0</v>
      </c>
    </row>
  </sheetData>
  <sheetProtection sheet="1" objects="1" scenarios="1" formatCells="0" formatColumns="0" formatRows="0" insertColumns="0" insertRows="0" insertHyperlinks="0" deleteColumns="0" deleteRows="0" sort="0" autoFilter="0" pivotTables="0"/>
  <phoneticPr fontId="7" type="noConversion"/>
  <pageMargins left="0.7" right="0.7" top="0.75" bottom="0.75" header="0.3" footer="0.3"/>
  <pageSetup paperSize="9" scale="6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88E9C-F2E8-4D69-A0F4-3AD0FA29F6CA}">
  <sheetPr codeName="Ark7">
    <tabColor theme="2" tint="-9.9978637043366805E-2"/>
    <pageSetUpPr fitToPage="1"/>
  </sheetPr>
  <dimension ref="A1:P37"/>
  <sheetViews>
    <sheetView showGridLines="0" zoomScaleNormal="100" workbookViewId="0">
      <selection activeCell="G23" sqref="G23"/>
    </sheetView>
  </sheetViews>
  <sheetFormatPr defaultColWidth="11.42578125" defaultRowHeight="17.25"/>
  <cols>
    <col min="1" max="1" width="11.7109375" style="2" customWidth="1"/>
    <col min="2" max="2" width="5.28515625" style="2" customWidth="1"/>
    <col min="3" max="3" width="65.85546875" style="2" bestFit="1" customWidth="1"/>
    <col min="4" max="4" width="25.28515625" style="2" customWidth="1"/>
    <col min="5" max="5" width="17.5703125" style="313" bestFit="1" customWidth="1"/>
    <col min="6" max="6" width="25.28515625" style="313" customWidth="1"/>
    <col min="7" max="7" width="25.28515625" style="2" customWidth="1"/>
    <col min="8" max="8" width="83.140625" style="15" bestFit="1" customWidth="1"/>
    <col min="9" max="16384" width="11.42578125" style="2"/>
  </cols>
  <sheetData>
    <row r="1" spans="1:10" ht="21">
      <c r="A1" s="91" t="s">
        <v>73</v>
      </c>
      <c r="B1" s="14"/>
    </row>
    <row r="2" spans="1:10">
      <c r="A2" s="15"/>
      <c r="B2" s="15"/>
      <c r="C2" s="15"/>
      <c r="D2" s="15"/>
      <c r="E2" s="314"/>
      <c r="F2" s="314"/>
      <c r="G2" s="15"/>
    </row>
    <row r="3" spans="1:10">
      <c r="A3" s="72" t="s">
        <v>90</v>
      </c>
      <c r="B3" s="22"/>
      <c r="C3" s="22"/>
      <c r="D3" s="15"/>
      <c r="E3" s="314"/>
      <c r="F3" s="314"/>
      <c r="G3" s="15"/>
    </row>
    <row r="4" spans="1:10">
      <c r="A4" s="262"/>
      <c r="B4" s="262"/>
      <c r="C4" s="302" t="s">
        <v>253</v>
      </c>
      <c r="D4" s="290" t="str">
        <f>'Budsjett 2024'!D$8</f>
        <v>Rekneskap 2023</v>
      </c>
      <c r="E4" s="319" t="str">
        <f>'Budsjett 2024'!E$8</f>
        <v>Reknskap 2024</v>
      </c>
      <c r="F4" s="319"/>
      <c r="G4" s="290" t="str">
        <f>'Budsjett 2024'!F$8</f>
        <v>Budsjett 2024 rev. 2</v>
      </c>
    </row>
    <row r="5" spans="1:10">
      <c r="A5" s="22"/>
      <c r="B5" s="22"/>
      <c r="C5" s="67" t="s">
        <v>151</v>
      </c>
      <c r="D5" s="115"/>
      <c r="E5" s="322"/>
      <c r="F5" s="322"/>
      <c r="G5" s="115"/>
    </row>
    <row r="6" spans="1:10">
      <c r="A6" s="113">
        <v>10000</v>
      </c>
      <c r="B6" s="86"/>
      <c r="C6" s="5" t="s">
        <v>254</v>
      </c>
      <c r="D6" s="16">
        <v>82447.62</v>
      </c>
      <c r="E6" s="320">
        <v>199517.93</v>
      </c>
      <c r="F6" s="320"/>
      <c r="G6" s="16">
        <v>200000</v>
      </c>
      <c r="H6" s="17"/>
    </row>
    <row r="7" spans="1:10">
      <c r="A7" s="113">
        <v>11000</v>
      </c>
      <c r="B7" s="86"/>
      <c r="C7" s="5" t="s">
        <v>255</v>
      </c>
      <c r="D7" s="16">
        <v>101390.57</v>
      </c>
      <c r="E7" s="320">
        <f>116662.35+146+1000</f>
        <v>117808.35</v>
      </c>
      <c r="F7" s="320"/>
      <c r="G7" s="16">
        <v>100000</v>
      </c>
    </row>
    <row r="8" spans="1:10" s="4" customFormat="1">
      <c r="A8" s="113">
        <v>14000</v>
      </c>
      <c r="B8" s="86"/>
      <c r="C8" s="5" t="s">
        <v>256</v>
      </c>
      <c r="D8" s="16">
        <v>2499</v>
      </c>
      <c r="E8" s="320">
        <v>4564.67</v>
      </c>
      <c r="F8" s="320"/>
      <c r="G8" s="16">
        <v>8000</v>
      </c>
      <c r="H8" s="15"/>
      <c r="I8" s="2"/>
      <c r="J8" s="2"/>
    </row>
    <row r="9" spans="1:10" s="4" customFormat="1">
      <c r="A9" s="113">
        <v>19000</v>
      </c>
      <c r="B9" s="86"/>
      <c r="C9" s="5" t="s">
        <v>257</v>
      </c>
      <c r="D9" s="33">
        <v>538102.26</v>
      </c>
      <c r="E9" s="314">
        <f>580786.58-9870</f>
        <v>570916.57999999996</v>
      </c>
      <c r="F9" s="314"/>
      <c r="G9" s="33">
        <v>550000</v>
      </c>
      <c r="H9" s="15" t="s">
        <v>258</v>
      </c>
      <c r="I9" s="2"/>
      <c r="J9" s="2"/>
    </row>
    <row r="10" spans="1:10" s="4" customFormat="1">
      <c r="A10" s="113">
        <v>19000</v>
      </c>
      <c r="B10" s="86"/>
      <c r="C10" s="5" t="s">
        <v>259</v>
      </c>
      <c r="D10" s="33">
        <v>61250</v>
      </c>
      <c r="E10" s="314">
        <v>79870</v>
      </c>
      <c r="F10" s="314"/>
      <c r="G10" s="33">
        <v>80000</v>
      </c>
      <c r="H10" s="15" t="s">
        <v>260</v>
      </c>
      <c r="I10" s="2"/>
      <c r="J10" s="2"/>
    </row>
    <row r="11" spans="1:10" s="4" customFormat="1">
      <c r="A11" s="86"/>
      <c r="B11" s="86"/>
      <c r="C11" s="22"/>
      <c r="D11" s="68">
        <f>SUM(D6:D10)</f>
        <v>785689.45</v>
      </c>
      <c r="E11" s="316">
        <f>SUM(E6:E10)</f>
        <v>972677.53</v>
      </c>
      <c r="F11" s="316"/>
      <c r="G11" s="68">
        <f>SUM(G6:G10)</f>
        <v>938000</v>
      </c>
      <c r="H11" s="15"/>
      <c r="I11" s="2"/>
      <c r="J11" s="2"/>
    </row>
    <row r="12" spans="1:10" s="4" customFormat="1">
      <c r="A12" s="86"/>
      <c r="B12" s="86"/>
      <c r="C12" s="100" t="s">
        <v>93</v>
      </c>
      <c r="D12" s="101">
        <f>-D11</f>
        <v>-785689.45</v>
      </c>
      <c r="E12" s="101">
        <f>-E11</f>
        <v>-972677.53</v>
      </c>
      <c r="F12" s="101"/>
      <c r="G12" s="101">
        <f>-G11</f>
        <v>-938000</v>
      </c>
      <c r="H12" s="15"/>
      <c r="I12" s="2"/>
      <c r="J12" s="2"/>
    </row>
    <row r="13" spans="1:10" s="4" customFormat="1">
      <c r="A13" s="86"/>
      <c r="B13" s="86"/>
      <c r="C13" s="67"/>
      <c r="D13" s="68"/>
      <c r="E13" s="316"/>
      <c r="F13" s="316"/>
      <c r="G13" s="68"/>
      <c r="H13" s="25"/>
      <c r="I13" s="2"/>
      <c r="J13" s="2"/>
    </row>
    <row r="14" spans="1:10" s="4" customFormat="1">
      <c r="E14" s="320"/>
      <c r="F14" s="320"/>
      <c r="H14" s="23"/>
      <c r="I14" s="2"/>
      <c r="J14" s="2"/>
    </row>
    <row r="15" spans="1:10">
      <c r="A15" s="262"/>
      <c r="B15" s="262"/>
      <c r="C15" s="302" t="s">
        <v>261</v>
      </c>
      <c r="D15" s="290" t="str">
        <f>'Budsjett 2024'!D$8</f>
        <v>Rekneskap 2023</v>
      </c>
      <c r="E15" s="319" t="str">
        <f>'Budsjett 2024'!E$8</f>
        <v>Reknskap 2024</v>
      </c>
      <c r="F15" s="319"/>
      <c r="G15" s="290" t="str">
        <f>'Budsjett 2024'!F$8</f>
        <v>Budsjett 2024 rev. 2</v>
      </c>
      <c r="H15" s="36"/>
    </row>
    <row r="16" spans="1:10">
      <c r="A16" s="89">
        <v>76000</v>
      </c>
      <c r="B16" s="89"/>
      <c r="C16" s="89" t="s">
        <v>262</v>
      </c>
      <c r="D16" s="90">
        <v>123353.02</v>
      </c>
      <c r="E16" s="314">
        <v>73573.850000000006</v>
      </c>
      <c r="F16" s="314"/>
      <c r="G16" s="90">
        <v>160000</v>
      </c>
      <c r="H16" s="15" t="s">
        <v>263</v>
      </c>
    </row>
    <row r="17" spans="1:16" s="11" customFormat="1" ht="18">
      <c r="A17" s="114">
        <v>76100</v>
      </c>
      <c r="B17" s="114"/>
      <c r="C17" s="15" t="s">
        <v>264</v>
      </c>
      <c r="D17" s="23">
        <v>87659.63</v>
      </c>
      <c r="E17" s="314">
        <v>113085.78</v>
      </c>
      <c r="F17" s="314"/>
      <c r="G17" s="23">
        <f>15000*2+30000+20000</f>
        <v>80000</v>
      </c>
      <c r="H17" s="15" t="s">
        <v>265</v>
      </c>
      <c r="I17" s="2"/>
      <c r="J17" s="2"/>
      <c r="K17" s="18"/>
      <c r="L17" s="18"/>
      <c r="M17" s="18"/>
      <c r="N17" s="18"/>
      <c r="O17" s="18"/>
      <c r="P17" s="18"/>
    </row>
    <row r="18" spans="1:16">
      <c r="A18" s="113">
        <v>77000</v>
      </c>
      <c r="B18" s="86"/>
      <c r="C18" s="5" t="s">
        <v>266</v>
      </c>
      <c r="D18" s="16">
        <v>17216.62</v>
      </c>
      <c r="E18" s="320">
        <v>23382.04</v>
      </c>
      <c r="F18" s="320"/>
      <c r="G18" s="16">
        <v>15000</v>
      </c>
    </row>
    <row r="19" spans="1:16">
      <c r="A19" s="113">
        <v>79900</v>
      </c>
      <c r="B19" s="86"/>
      <c r="C19" s="5" t="s">
        <v>267</v>
      </c>
      <c r="D19" s="16">
        <v>17814.34</v>
      </c>
      <c r="E19" s="320">
        <v>19916.03</v>
      </c>
      <c r="F19" s="320"/>
      <c r="G19" s="16">
        <v>18000</v>
      </c>
    </row>
    <row r="20" spans="1:16">
      <c r="A20" s="113">
        <v>94000</v>
      </c>
      <c r="B20" s="86"/>
      <c r="C20" s="5" t="s">
        <v>268</v>
      </c>
      <c r="D20" s="16">
        <v>74076.45</v>
      </c>
      <c r="E20" s="320">
        <v>69102.320000000007</v>
      </c>
      <c r="F20" s="320"/>
      <c r="G20" s="7">
        <v>80000</v>
      </c>
    </row>
    <row r="21" spans="1:16">
      <c r="A21" s="15">
        <v>73300</v>
      </c>
      <c r="B21" s="15"/>
      <c r="C21" s="15" t="s">
        <v>269</v>
      </c>
      <c r="D21" s="7">
        <v>206087.54</v>
      </c>
      <c r="E21" s="314">
        <v>183957.97000000015</v>
      </c>
      <c r="F21" s="314"/>
      <c r="G21" s="24">
        <v>206000</v>
      </c>
      <c r="H21" s="15" t="s">
        <v>270</v>
      </c>
    </row>
    <row r="22" spans="1:16">
      <c r="A22" s="71">
        <v>5003</v>
      </c>
      <c r="B22" s="71"/>
      <c r="C22" s="119" t="s">
        <v>157</v>
      </c>
      <c r="D22" s="120">
        <f>2746391.56-536.88-357.92-6442.58-15358.39</f>
        <v>2723695.79</v>
      </c>
      <c r="E22" s="321">
        <f>2455910.92669477+0.47</f>
        <v>2455911.3966947701</v>
      </c>
      <c r="F22" s="321"/>
      <c r="G22" s="122">
        <f>ROUND('Lønns- og personalkostnader'!F40*Årsverk_Ikke_fordeltbare_adm/Årsverk_ADMINISTRASJON,-3)</f>
        <v>2444000</v>
      </c>
    </row>
    <row r="23" spans="1:16">
      <c r="A23" s="71">
        <v>6990</v>
      </c>
      <c r="B23" s="71"/>
      <c r="C23" s="119" t="s">
        <v>158</v>
      </c>
      <c r="D23" s="120">
        <f>669085.66-198.03-132.02-2376.37-5664.99</f>
        <v>660714.25</v>
      </c>
      <c r="E23" s="323">
        <f>806946.54158516-17000-441.14</f>
        <v>789505.40158515994</v>
      </c>
      <c r="F23" s="323"/>
      <c r="G23" s="121">
        <f>ROUND('Fordelte felleskostnader'!F34*Årsverk_Ikke_fordeltbare_adm/Årsverk_TOTALT,-3)</f>
        <v>797000</v>
      </c>
    </row>
    <row r="24" spans="1:16">
      <c r="A24" s="15"/>
      <c r="B24" s="15"/>
      <c r="C24" s="22"/>
      <c r="D24" s="68">
        <f>SUM(D16:D23)</f>
        <v>3910617.64</v>
      </c>
      <c r="E24" s="316">
        <f>SUM(E16:E23)</f>
        <v>3728434.7882799301</v>
      </c>
      <c r="F24" s="316"/>
      <c r="G24" s="68">
        <f>SUM(G16:G23)</f>
        <v>3800000</v>
      </c>
    </row>
    <row r="25" spans="1:16">
      <c r="A25" s="15"/>
      <c r="B25" s="15"/>
      <c r="C25" s="100" t="s">
        <v>93</v>
      </c>
      <c r="D25" s="101">
        <f>-D24</f>
        <v>-3910617.64</v>
      </c>
      <c r="E25" s="101">
        <f>-E24</f>
        <v>-3728434.7882799301</v>
      </c>
      <c r="F25" s="101"/>
      <c r="G25" s="101">
        <f>-G24</f>
        <v>-3800000</v>
      </c>
    </row>
    <row r="26" spans="1:16">
      <c r="J26" s="19"/>
      <c r="K26" s="19"/>
    </row>
    <row r="33" spans="4:4">
      <c r="D33" s="230"/>
    </row>
    <row r="37" spans="4:4">
      <c r="D37" s="231"/>
    </row>
  </sheetData>
  <sheetProtection sheet="1" objects="1" scenarios="1" formatCells="0" formatColumns="0" formatRows="0" insertColumns="0" insertRows="0" insertHyperlinks="0" deleteColumns="0" deleteRows="0" sort="0" autoFilter="0" pivotTables="0"/>
  <phoneticPr fontId="7" type="noConversion"/>
  <pageMargins left="0.7" right="0.7" top="0.75" bottom="0.75" header="0.3" footer="0.3"/>
  <pageSetup paperSize="9" scale="5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43AFF-3370-44E1-AC4E-6C107D01D8E3}">
  <sheetPr codeName="Ark8">
    <tabColor theme="7" tint="0.59999389629810485"/>
    <pageSetUpPr autoPageBreaks="0" fitToPage="1"/>
  </sheetPr>
  <dimension ref="A1:O73"/>
  <sheetViews>
    <sheetView showGridLines="0" zoomScaleNormal="100" workbookViewId="0">
      <selection activeCell="H68" sqref="H68"/>
    </sheetView>
  </sheetViews>
  <sheetFormatPr defaultColWidth="12.5703125" defaultRowHeight="18"/>
  <cols>
    <col min="1" max="1" width="11.7109375" style="11" customWidth="1"/>
    <col min="2" max="2" width="5.28515625" style="11" customWidth="1"/>
    <col min="3" max="3" width="65.85546875" style="11" bestFit="1" customWidth="1"/>
    <col min="4" max="4" width="25.28515625" style="11" customWidth="1"/>
    <col min="5" max="5" width="25.28515625" style="325" customWidth="1"/>
    <col min="6" max="6" width="25.28515625" style="11" customWidth="1"/>
    <col min="7" max="7" width="5.28515625" style="11" customWidth="1"/>
    <col min="8" max="8" width="47.85546875" style="11" bestFit="1" customWidth="1"/>
    <col min="9" max="9" width="21.28515625" style="11" bestFit="1" customWidth="1"/>
    <col min="10" max="10" width="124.140625" style="12" bestFit="1" customWidth="1"/>
    <col min="11" max="11" width="14" style="12" customWidth="1"/>
    <col min="12" max="12" width="13.5703125" style="11" customWidth="1"/>
    <col min="13" max="13" width="15.5703125" style="11" bestFit="1" customWidth="1"/>
    <col min="14" max="14" width="12.5703125" style="11"/>
    <col min="15" max="15" width="12.5703125" style="11" customWidth="1"/>
    <col min="16" max="16384" width="12.5703125" style="11"/>
  </cols>
  <sheetData>
    <row r="1" spans="1:15" ht="21">
      <c r="A1" s="123" t="s">
        <v>271</v>
      </c>
      <c r="B1" s="123"/>
      <c r="C1" s="9"/>
      <c r="D1" s="9"/>
      <c r="E1" s="324"/>
      <c r="H1" s="2"/>
      <c r="I1" s="2"/>
      <c r="K1" s="207"/>
      <c r="L1" s="2"/>
      <c r="M1" s="2"/>
      <c r="N1" s="13"/>
    </row>
    <row r="2" spans="1:15">
      <c r="C2" s="2"/>
      <c r="H2" s="2"/>
      <c r="I2" s="2"/>
    </row>
    <row r="3" spans="1:15">
      <c r="A3" s="72" t="s">
        <v>90</v>
      </c>
      <c r="B3" s="3"/>
      <c r="C3" s="15"/>
      <c r="D3" s="226" t="str">
        <f>'Budsjett 2024'!D$8</f>
        <v>Rekneskap 2023</v>
      </c>
      <c r="E3" s="326" t="str">
        <f>'Budsjett 2024'!E$8</f>
        <v>Reknskap 2024</v>
      </c>
      <c r="F3" s="226" t="str">
        <f>'Budsjett 2024'!F$8</f>
        <v>Budsjett 2024 rev. 2</v>
      </c>
      <c r="G3" s="114"/>
      <c r="H3" s="15"/>
      <c r="I3" s="15"/>
      <c r="J3" s="124"/>
      <c r="K3" s="114"/>
      <c r="M3" s="81"/>
    </row>
    <row r="4" spans="1:15">
      <c r="A4" s="263">
        <v>20</v>
      </c>
      <c r="B4" s="263"/>
      <c r="C4" s="264" t="s">
        <v>272</v>
      </c>
      <c r="D4" s="265">
        <f>SUM(D5:D9)</f>
        <v>2120662.17</v>
      </c>
      <c r="E4" s="327">
        <f>SUM(E5:E9)</f>
        <v>2526463.9905340075</v>
      </c>
      <c r="F4" s="265">
        <f>SUM(F5:F9)</f>
        <v>2956000</v>
      </c>
      <c r="G4" s="266"/>
      <c r="H4" s="264" t="s">
        <v>273</v>
      </c>
      <c r="I4" s="267" t="s">
        <v>274</v>
      </c>
      <c r="J4" s="303"/>
      <c r="K4" s="125"/>
      <c r="L4" s="183"/>
      <c r="M4" s="83"/>
    </row>
    <row r="5" spans="1:15">
      <c r="A5" s="78" t="s">
        <v>275</v>
      </c>
      <c r="B5" s="78"/>
      <c r="C5" s="114" t="s">
        <v>276</v>
      </c>
      <c r="D5" s="127">
        <v>1858617.53</v>
      </c>
      <c r="E5" s="328">
        <v>2324082.0299999998</v>
      </c>
      <c r="F5" s="127">
        <v>2127000</v>
      </c>
      <c r="G5" s="114"/>
      <c r="H5" s="389" t="s">
        <v>277</v>
      </c>
      <c r="I5" s="128">
        <v>1.44</v>
      </c>
      <c r="J5" s="175"/>
      <c r="K5" s="147"/>
      <c r="L5" s="182"/>
      <c r="M5" s="2"/>
      <c r="O5" s="206"/>
    </row>
    <row r="6" spans="1:15">
      <c r="A6" s="78">
        <v>5180</v>
      </c>
      <c r="B6" s="78"/>
      <c r="C6" s="114" t="s">
        <v>278</v>
      </c>
      <c r="D6" s="127">
        <v>223034.12</v>
      </c>
      <c r="E6" s="328">
        <v>278889.81</v>
      </c>
      <c r="F6" s="127">
        <v>255000</v>
      </c>
      <c r="G6" s="79"/>
      <c r="H6" s="129" t="s">
        <v>279</v>
      </c>
      <c r="I6" s="128">
        <v>0.42</v>
      </c>
      <c r="J6" s="289"/>
      <c r="K6" s="147"/>
      <c r="L6" s="182"/>
      <c r="M6" s="2"/>
      <c r="O6" s="206"/>
    </row>
    <row r="7" spans="1:15">
      <c r="A7" s="78" t="s">
        <v>280</v>
      </c>
      <c r="B7" s="78"/>
      <c r="C7" s="114" t="s">
        <v>281</v>
      </c>
      <c r="D7" s="127">
        <v>238637.43</v>
      </c>
      <c r="E7" s="328">
        <v>300885.84000000003</v>
      </c>
      <c r="F7" s="127">
        <v>336000</v>
      </c>
      <c r="G7" s="79"/>
      <c r="H7" s="129" t="s">
        <v>282</v>
      </c>
      <c r="I7" s="128">
        <v>0.63</v>
      </c>
      <c r="J7" s="289"/>
      <c r="K7" s="147"/>
      <c r="L7" s="81"/>
      <c r="M7" s="2"/>
      <c r="O7" s="206"/>
    </row>
    <row r="8" spans="1:15">
      <c r="A8" s="78" t="s">
        <v>283</v>
      </c>
      <c r="B8" s="78"/>
      <c r="C8" s="114" t="s">
        <v>284</v>
      </c>
      <c r="D8" s="287">
        <v>-381811</v>
      </c>
      <c r="E8" s="329">
        <v>-570391</v>
      </c>
      <c r="F8" s="127">
        <v>0</v>
      </c>
      <c r="G8" s="114"/>
      <c r="H8" s="129" t="s">
        <v>285</v>
      </c>
      <c r="I8" s="128">
        <v>0.16</v>
      </c>
      <c r="J8" s="175"/>
      <c r="K8" s="147"/>
      <c r="L8" s="182"/>
      <c r="M8" s="2"/>
      <c r="O8" s="206"/>
    </row>
    <row r="9" spans="1:15">
      <c r="A9" s="9"/>
      <c r="B9" s="9"/>
      <c r="C9" s="131" t="s">
        <v>286</v>
      </c>
      <c r="D9" s="132">
        <v>182184.09</v>
      </c>
      <c r="E9" s="330">
        <v>192997.31053400785</v>
      </c>
      <c r="F9" s="132">
        <v>238000</v>
      </c>
      <c r="G9" s="114"/>
      <c r="H9" s="129" t="s">
        <v>287</v>
      </c>
      <c r="I9" s="128">
        <v>0.25</v>
      </c>
      <c r="J9" s="175"/>
      <c r="K9" s="147"/>
      <c r="L9" s="182"/>
      <c r="M9" s="2"/>
      <c r="O9" s="206"/>
    </row>
    <row r="10" spans="1:15">
      <c r="A10" s="9"/>
      <c r="B10" s="9"/>
      <c r="C10" s="114"/>
      <c r="D10" s="114"/>
      <c r="E10" s="320"/>
      <c r="F10" s="133"/>
      <c r="G10" s="114"/>
      <c r="H10" s="129" t="s">
        <v>288</v>
      </c>
      <c r="I10" s="128">
        <v>0.01</v>
      </c>
      <c r="J10" s="175"/>
      <c r="K10" s="147"/>
      <c r="L10" s="182"/>
      <c r="M10" s="2"/>
      <c r="O10" s="206"/>
    </row>
    <row r="11" spans="1:15">
      <c r="A11" s="9"/>
      <c r="B11" s="9"/>
      <c r="C11" s="114"/>
      <c r="D11" s="114"/>
      <c r="E11" s="320"/>
      <c r="F11" s="133"/>
      <c r="G11" s="114"/>
      <c r="H11" s="129" t="s">
        <v>289</v>
      </c>
      <c r="I11" s="128">
        <v>7.0000000000000007E-2</v>
      </c>
      <c r="J11" s="289"/>
      <c r="K11" s="147"/>
      <c r="L11" s="182"/>
      <c r="M11" s="2"/>
      <c r="O11" s="206"/>
    </row>
    <row r="12" spans="1:15">
      <c r="A12" s="9"/>
      <c r="B12" s="9"/>
      <c r="C12" s="114"/>
      <c r="D12" s="114"/>
      <c r="E12" s="320"/>
      <c r="F12" s="133"/>
      <c r="G12" s="114"/>
      <c r="H12" s="129" t="s">
        <v>290</v>
      </c>
      <c r="I12" s="128">
        <v>0.31</v>
      </c>
      <c r="J12" s="289"/>
      <c r="K12" s="147"/>
      <c r="L12" s="182"/>
      <c r="M12" s="2"/>
      <c r="O12" s="206"/>
    </row>
    <row r="13" spans="1:15">
      <c r="C13" s="114"/>
      <c r="D13" s="114"/>
      <c r="E13" s="320"/>
      <c r="F13" s="133"/>
      <c r="G13" s="114"/>
      <c r="H13" s="134" t="s">
        <v>93</v>
      </c>
      <c r="I13" s="135">
        <f>SUM(I5:I12)</f>
        <v>3.2899999999999996</v>
      </c>
      <c r="J13" s="177"/>
      <c r="K13" s="205"/>
      <c r="L13" s="83"/>
      <c r="M13" s="2"/>
    </row>
    <row r="14" spans="1:15">
      <c r="C14" s="114"/>
      <c r="D14" s="114"/>
      <c r="E14" s="320"/>
      <c r="F14" s="149"/>
      <c r="G14" s="114"/>
      <c r="H14" s="114"/>
      <c r="I14" s="186">
        <f>3.29-I13</f>
        <v>0</v>
      </c>
      <c r="J14" s="185" t="s">
        <v>291</v>
      </c>
      <c r="K14" s="124"/>
      <c r="L14" s="83"/>
      <c r="M14" s="2"/>
    </row>
    <row r="15" spans="1:15">
      <c r="A15" s="268">
        <v>40</v>
      </c>
      <c r="B15" s="268"/>
      <c r="C15" s="269" t="s">
        <v>292</v>
      </c>
      <c r="D15" s="270">
        <f>SUM(D16:D20)</f>
        <v>1622216.2499999998</v>
      </c>
      <c r="E15" s="331">
        <f>SUM(E16:E20)</f>
        <v>1856563.39128724</v>
      </c>
      <c r="F15" s="270">
        <f>SUM(F16:F20)</f>
        <v>1845000</v>
      </c>
      <c r="G15" s="271"/>
      <c r="H15" s="269" t="s">
        <v>273</v>
      </c>
      <c r="I15" s="272" t="str">
        <f>I4</f>
        <v>Brukte årsverk 2024</v>
      </c>
      <c r="J15" s="304"/>
      <c r="K15" s="137"/>
      <c r="L15" s="83"/>
      <c r="M15" s="2"/>
    </row>
    <row r="16" spans="1:15">
      <c r="A16" s="78" t="s">
        <v>275</v>
      </c>
      <c r="B16" s="78"/>
      <c r="C16" s="114" t="s">
        <v>276</v>
      </c>
      <c r="D16" s="127">
        <v>1160568.3899999999</v>
      </c>
      <c r="E16" s="328">
        <v>1340216.8899999999</v>
      </c>
      <c r="F16" s="127">
        <v>1325000</v>
      </c>
      <c r="G16" s="114"/>
      <c r="H16" s="390" t="s">
        <v>293</v>
      </c>
      <c r="I16" s="138">
        <v>1.25</v>
      </c>
      <c r="J16" s="179"/>
      <c r="K16" s="139"/>
      <c r="L16" s="84"/>
      <c r="M16" s="2"/>
    </row>
    <row r="17" spans="1:14">
      <c r="A17" s="78">
        <v>5180</v>
      </c>
      <c r="B17" s="78"/>
      <c r="C17" s="114" t="s">
        <v>278</v>
      </c>
      <c r="D17" s="127">
        <v>139268.19</v>
      </c>
      <c r="E17" s="328">
        <v>160825.99000000002</v>
      </c>
      <c r="F17" s="127">
        <v>159000</v>
      </c>
      <c r="G17" s="80"/>
      <c r="H17" s="140" t="s">
        <v>294</v>
      </c>
      <c r="I17" s="138">
        <v>1.25</v>
      </c>
      <c r="J17" s="179"/>
      <c r="K17" s="130"/>
      <c r="L17" s="84"/>
      <c r="M17" s="85"/>
    </row>
    <row r="18" spans="1:14">
      <c r="A18" s="78" t="s">
        <v>280</v>
      </c>
      <c r="B18" s="78"/>
      <c r="C18" s="114" t="s">
        <v>281</v>
      </c>
      <c r="D18" s="127">
        <v>200395.21</v>
      </c>
      <c r="E18" s="328">
        <v>212042.02</v>
      </c>
      <c r="F18" s="127">
        <v>209000</v>
      </c>
      <c r="G18" s="80"/>
      <c r="H18" s="140" t="s">
        <v>295</v>
      </c>
      <c r="I18" s="138">
        <v>0</v>
      </c>
      <c r="J18" s="179"/>
      <c r="K18" s="141"/>
      <c r="L18" s="84"/>
      <c r="M18" s="2"/>
    </row>
    <row r="19" spans="1:14">
      <c r="A19" s="78" t="s">
        <v>283</v>
      </c>
      <c r="B19" s="78"/>
      <c r="C19" s="114" t="s">
        <v>296</v>
      </c>
      <c r="D19" s="287">
        <v>-9260</v>
      </c>
      <c r="E19" s="329">
        <v>-3176</v>
      </c>
      <c r="F19" s="127">
        <v>0</v>
      </c>
      <c r="G19" s="80"/>
      <c r="H19" s="143" t="s">
        <v>93</v>
      </c>
      <c r="I19" s="144">
        <f>SUM(I16:I18)</f>
        <v>2.5</v>
      </c>
      <c r="J19" s="180"/>
      <c r="K19" s="124"/>
      <c r="L19" s="83"/>
    </row>
    <row r="20" spans="1:14">
      <c r="A20" s="10"/>
      <c r="B20" s="10"/>
      <c r="C20" s="142" t="s">
        <v>286</v>
      </c>
      <c r="D20" s="218">
        <v>131244.46</v>
      </c>
      <c r="E20" s="332">
        <v>146654.49128724003</v>
      </c>
      <c r="F20" s="218">
        <v>152000</v>
      </c>
      <c r="G20" s="80"/>
      <c r="I20" s="186">
        <f>2.5-I19</f>
        <v>0</v>
      </c>
      <c r="J20" s="185" t="s">
        <v>291</v>
      </c>
      <c r="K20" s="124"/>
      <c r="L20" s="178"/>
    </row>
    <row r="21" spans="1:14">
      <c r="D21" s="114"/>
      <c r="E21" s="320"/>
      <c r="F21" s="133"/>
      <c r="G21" s="114"/>
      <c r="H21" s="15"/>
      <c r="I21" s="15"/>
      <c r="J21" s="15"/>
      <c r="K21" s="126"/>
    </row>
    <row r="22" spans="1:14">
      <c r="C22" s="114"/>
      <c r="D22" s="114"/>
      <c r="E22" s="320"/>
      <c r="F22" s="133"/>
      <c r="G22" s="114"/>
      <c r="H22" s="15"/>
      <c r="I22" s="15"/>
      <c r="J22" s="15"/>
      <c r="K22" s="126"/>
    </row>
    <row r="23" spans="1:14">
      <c r="A23" s="273">
        <v>60</v>
      </c>
      <c r="B23" s="274"/>
      <c r="C23" s="275" t="s">
        <v>297</v>
      </c>
      <c r="D23" s="276">
        <f>SUM(D24:D28)</f>
        <v>4620697.78</v>
      </c>
      <c r="E23" s="333">
        <f>SUM(E24:E28)</f>
        <v>5299614.7671163576</v>
      </c>
      <c r="F23" s="276">
        <f>SUM(F24:F28)</f>
        <v>5213000</v>
      </c>
      <c r="G23" s="277"/>
      <c r="H23" s="275" t="s">
        <v>273</v>
      </c>
      <c r="I23" s="275" t="str">
        <f>I4</f>
        <v>Brukte årsverk 2024</v>
      </c>
      <c r="J23" s="305"/>
      <c r="K23" s="137"/>
      <c r="L23" s="81"/>
    </row>
    <row r="24" spans="1:14">
      <c r="A24" s="78" t="s">
        <v>275</v>
      </c>
      <c r="B24" s="78"/>
      <c r="C24" s="114" t="s">
        <v>276</v>
      </c>
      <c r="D24" s="127">
        <v>3653706.83</v>
      </c>
      <c r="E24" s="328">
        <v>3828248.03</v>
      </c>
      <c r="F24" s="127">
        <v>3736000</v>
      </c>
      <c r="G24" s="79"/>
      <c r="H24" s="391" t="s">
        <v>298</v>
      </c>
      <c r="I24" s="146">
        <v>4.74</v>
      </c>
      <c r="J24" s="181"/>
      <c r="K24" s="147"/>
      <c r="L24" s="81"/>
      <c r="M24" s="81"/>
      <c r="N24" s="81"/>
    </row>
    <row r="25" spans="1:14">
      <c r="A25" s="78">
        <v>5180</v>
      </c>
      <c r="B25" s="78"/>
      <c r="C25" s="114" t="s">
        <v>278</v>
      </c>
      <c r="D25" s="127">
        <v>438444.82</v>
      </c>
      <c r="E25" s="328">
        <v>459389.80999999994</v>
      </c>
      <c r="F25" s="127">
        <v>448000</v>
      </c>
      <c r="G25" s="79"/>
      <c r="H25" s="148" t="s">
        <v>299</v>
      </c>
      <c r="I25" s="146">
        <v>0.64</v>
      </c>
      <c r="J25" s="181"/>
      <c r="K25" s="147"/>
      <c r="L25" s="81"/>
      <c r="M25" s="81"/>
      <c r="N25" s="81"/>
    </row>
    <row r="26" spans="1:14">
      <c r="A26" s="78" t="s">
        <v>280</v>
      </c>
      <c r="B26" s="78"/>
      <c r="C26" s="114" t="s">
        <v>281</v>
      </c>
      <c r="D26" s="127">
        <v>527028.22</v>
      </c>
      <c r="E26" s="328">
        <v>604831.69999999995</v>
      </c>
      <c r="F26" s="127">
        <v>590000</v>
      </c>
      <c r="G26" s="79"/>
      <c r="H26" s="148" t="s">
        <v>300</v>
      </c>
      <c r="I26" s="146">
        <v>0.5</v>
      </c>
      <c r="J26" s="181"/>
      <c r="K26" s="147"/>
      <c r="L26" s="81"/>
      <c r="M26" s="81"/>
    </row>
    <row r="27" spans="1:14">
      <c r="A27" s="78" t="s">
        <v>283</v>
      </c>
      <c r="B27" s="78"/>
      <c r="C27" s="114" t="s">
        <v>296</v>
      </c>
      <c r="D27" s="287">
        <v>-407797</v>
      </c>
      <c r="E27" s="329">
        <v>-11700</v>
      </c>
      <c r="F27" s="127">
        <v>0</v>
      </c>
      <c r="G27" s="79"/>
      <c r="H27" s="148" t="s">
        <v>301</v>
      </c>
      <c r="I27" s="146">
        <v>0.78</v>
      </c>
      <c r="J27" s="181"/>
      <c r="K27" s="147"/>
      <c r="L27" s="84"/>
      <c r="M27" s="81"/>
    </row>
    <row r="28" spans="1:14">
      <c r="A28" s="10"/>
      <c r="B28" s="10"/>
      <c r="C28" s="160" t="s">
        <v>286</v>
      </c>
      <c r="D28" s="217">
        <v>409314.91</v>
      </c>
      <c r="E28" s="334">
        <v>418845.22711635748</v>
      </c>
      <c r="F28" s="217">
        <v>439000</v>
      </c>
      <c r="G28" s="79"/>
      <c r="H28" s="148" t="s">
        <v>302</v>
      </c>
      <c r="I28" s="146">
        <v>0.34</v>
      </c>
      <c r="J28" s="181"/>
      <c r="K28" s="147"/>
      <c r="L28" s="84"/>
      <c r="M28" s="81"/>
    </row>
    <row r="29" spans="1:14">
      <c r="A29" s="10"/>
      <c r="B29" s="10"/>
      <c r="D29" s="114"/>
      <c r="E29" s="320"/>
      <c r="F29" s="114"/>
      <c r="G29" s="79"/>
      <c r="H29" s="298" t="s">
        <v>303</v>
      </c>
      <c r="I29" s="146">
        <v>0.14000000000000001</v>
      </c>
      <c r="J29" s="181"/>
      <c r="K29" s="147"/>
      <c r="L29" s="84"/>
      <c r="M29" s="81"/>
    </row>
    <row r="30" spans="1:14">
      <c r="D30" s="114"/>
      <c r="E30" s="320"/>
      <c r="F30" s="114"/>
      <c r="G30" s="79"/>
      <c r="H30" s="150" t="s">
        <v>93</v>
      </c>
      <c r="I30" s="151">
        <f>SUM(I24:I29)</f>
        <v>7.14</v>
      </c>
      <c r="J30" s="174"/>
      <c r="K30" s="136"/>
      <c r="M30" s="81"/>
    </row>
    <row r="31" spans="1:14">
      <c r="C31" s="114"/>
      <c r="D31" s="114"/>
      <c r="E31" s="320"/>
      <c r="F31" s="114"/>
      <c r="G31" s="114"/>
      <c r="H31" s="114"/>
      <c r="I31" s="186">
        <f>7.14-I30</f>
        <v>0</v>
      </c>
      <c r="J31" s="187" t="s">
        <v>291</v>
      </c>
      <c r="K31" s="124"/>
    </row>
    <row r="32" spans="1:14">
      <c r="A32" s="278">
        <v>80</v>
      </c>
      <c r="B32" s="279"/>
      <c r="C32" s="280" t="s">
        <v>304</v>
      </c>
      <c r="D32" s="281">
        <f>SUM(D33:D37)</f>
        <v>1522008.8699999999</v>
      </c>
      <c r="E32" s="335">
        <f>SUM(E33:E37)</f>
        <v>1633253.4843676221</v>
      </c>
      <c r="F32" s="281">
        <f>SUM(F33:F37)</f>
        <v>1366000</v>
      </c>
      <c r="G32" s="282"/>
      <c r="H32" s="280" t="s">
        <v>273</v>
      </c>
      <c r="I32" s="280" t="str">
        <f>I4</f>
        <v>Brukte årsverk 2024</v>
      </c>
      <c r="J32" s="306"/>
      <c r="K32" s="15"/>
    </row>
    <row r="33" spans="1:13">
      <c r="A33" s="78" t="s">
        <v>275</v>
      </c>
      <c r="B33" s="78"/>
      <c r="C33" s="114" t="s">
        <v>276</v>
      </c>
      <c r="D33" s="127">
        <v>1142891.1000000001</v>
      </c>
      <c r="E33" s="328">
        <v>1557875.95</v>
      </c>
      <c r="F33" s="127">
        <v>961000</v>
      </c>
      <c r="G33" s="114"/>
      <c r="H33" s="152" t="s">
        <v>305</v>
      </c>
      <c r="I33" s="153">
        <v>2.19</v>
      </c>
      <c r="J33" s="184"/>
      <c r="K33" s="15"/>
      <c r="L33" s="2"/>
    </row>
    <row r="34" spans="1:13">
      <c r="A34" s="78">
        <v>5180</v>
      </c>
      <c r="B34" s="78"/>
      <c r="C34" s="114" t="s">
        <v>278</v>
      </c>
      <c r="D34" s="127">
        <v>137146.93</v>
      </c>
      <c r="E34" s="328">
        <v>186945.07</v>
      </c>
      <c r="F34" s="127">
        <v>115000</v>
      </c>
      <c r="G34" s="79"/>
      <c r="H34" s="154" t="s">
        <v>93</v>
      </c>
      <c r="I34" s="155">
        <f>SUM(I33:I33)</f>
        <v>2.19</v>
      </c>
      <c r="J34" s="176"/>
      <c r="K34" s="15"/>
    </row>
    <row r="35" spans="1:13">
      <c r="A35" s="78" t="s">
        <v>280</v>
      </c>
      <c r="B35" s="78"/>
      <c r="C35" s="114" t="s">
        <v>281</v>
      </c>
      <c r="D35" s="127">
        <v>172240.67</v>
      </c>
      <c r="E35" s="336">
        <v>183015.13</v>
      </c>
      <c r="F35" s="127">
        <v>152000</v>
      </c>
      <c r="G35" s="114"/>
      <c r="H35" s="145"/>
      <c r="I35" s="185">
        <f>2.19-I34</f>
        <v>0</v>
      </c>
      <c r="J35" s="187" t="s">
        <v>291</v>
      </c>
      <c r="K35" s="15"/>
    </row>
    <row r="36" spans="1:13">
      <c r="A36" s="78" t="s">
        <v>283</v>
      </c>
      <c r="B36" s="78"/>
      <c r="C36" s="114" t="s">
        <v>296</v>
      </c>
      <c r="D36" s="287">
        <v>-60915</v>
      </c>
      <c r="E36" s="337">
        <v>-423052</v>
      </c>
      <c r="F36" s="127">
        <v>0</v>
      </c>
      <c r="G36" s="114"/>
      <c r="K36" s="124"/>
    </row>
    <row r="37" spans="1:13">
      <c r="A37" s="10"/>
      <c r="B37" s="10"/>
      <c r="C37" s="161" t="s">
        <v>286</v>
      </c>
      <c r="D37" s="216">
        <v>130645.17</v>
      </c>
      <c r="E37" s="323">
        <v>128469.33436762226</v>
      </c>
      <c r="F37" s="216">
        <v>138000</v>
      </c>
      <c r="G37" s="114"/>
      <c r="H37" s="15"/>
      <c r="I37" s="15"/>
      <c r="J37" s="15"/>
      <c r="K37" s="15"/>
      <c r="L37" s="2"/>
      <c r="M37" s="2"/>
    </row>
    <row r="38" spans="1:13">
      <c r="D38" s="114"/>
      <c r="E38" s="320"/>
      <c r="F38" s="114"/>
      <c r="G38" s="124"/>
      <c r="H38" s="15"/>
      <c r="I38" s="15"/>
      <c r="J38" s="15"/>
      <c r="K38" s="15"/>
      <c r="L38" s="2"/>
      <c r="M38" s="2"/>
    </row>
    <row r="39" spans="1:13">
      <c r="C39" s="114"/>
      <c r="D39" s="114"/>
      <c r="E39" s="320"/>
      <c r="F39" s="114"/>
      <c r="G39" s="114"/>
      <c r="H39" s="15"/>
      <c r="I39" s="15"/>
      <c r="J39" s="15"/>
      <c r="K39" s="15"/>
      <c r="L39" s="2"/>
      <c r="M39" s="2"/>
    </row>
    <row r="40" spans="1:13">
      <c r="A40" s="278">
        <v>70</v>
      </c>
      <c r="B40" s="279"/>
      <c r="C40" s="280" t="s">
        <v>306</v>
      </c>
      <c r="D40" s="281">
        <f>SUM(D41:D45)</f>
        <v>2746391.56</v>
      </c>
      <c r="E40" s="335">
        <f>SUM(E41:E45)</f>
        <v>2459300.2366947718</v>
      </c>
      <c r="F40" s="281">
        <f>SUM(F41:F45)</f>
        <v>2444000</v>
      </c>
      <c r="G40" s="282"/>
      <c r="H40" s="280" t="s">
        <v>273</v>
      </c>
      <c r="I40" s="280" t="str">
        <f>I4</f>
        <v>Brukte årsverk 2024</v>
      </c>
      <c r="J40" s="306"/>
      <c r="K40" s="124"/>
      <c r="L40" s="2"/>
      <c r="M40" s="2"/>
    </row>
    <row r="41" spans="1:13">
      <c r="A41" s="78" t="s">
        <v>275</v>
      </c>
      <c r="B41" s="78"/>
      <c r="C41" s="114" t="s">
        <v>276</v>
      </c>
      <c r="D41" s="127">
        <v>2138930.79</v>
      </c>
      <c r="E41" s="328">
        <v>1977097.43</v>
      </c>
      <c r="F41" s="127">
        <v>1778000</v>
      </c>
      <c r="G41" s="79"/>
      <c r="H41" s="152" t="s">
        <v>307</v>
      </c>
      <c r="I41" s="153">
        <v>0</v>
      </c>
      <c r="J41" s="392"/>
      <c r="K41" s="124"/>
      <c r="L41" s="2"/>
      <c r="M41" s="2"/>
    </row>
    <row r="42" spans="1:13">
      <c r="A42" s="78">
        <v>5180</v>
      </c>
      <c r="B42" s="78"/>
      <c r="C42" s="114" t="s">
        <v>278</v>
      </c>
      <c r="D42" s="127">
        <v>256671.67</v>
      </c>
      <c r="E42" s="328">
        <v>237251.65999999997</v>
      </c>
      <c r="F42" s="127">
        <v>213000</v>
      </c>
      <c r="G42" s="79"/>
      <c r="H42" s="152" t="s">
        <v>308</v>
      </c>
      <c r="I42" s="153">
        <v>2.67</v>
      </c>
      <c r="J42" s="184"/>
      <c r="K42" s="124"/>
      <c r="L42" s="2"/>
      <c r="M42" s="2"/>
    </row>
    <row r="43" spans="1:13">
      <c r="A43" s="78" t="s">
        <v>280</v>
      </c>
      <c r="B43" s="78"/>
      <c r="C43" s="114" t="s">
        <v>281</v>
      </c>
      <c r="D43" s="127">
        <v>390306.46</v>
      </c>
      <c r="E43" s="328">
        <f>279550.67+91611.1+467.38</f>
        <v>371629.15</v>
      </c>
      <c r="F43" s="127">
        <v>281000</v>
      </c>
      <c r="G43" s="114"/>
      <c r="H43" s="154" t="s">
        <v>93</v>
      </c>
      <c r="I43" s="156">
        <f>SUM(I41:I42)</f>
        <v>2.67</v>
      </c>
      <c r="J43" s="176"/>
      <c r="K43" s="124"/>
      <c r="L43" s="2"/>
      <c r="M43" s="2"/>
    </row>
    <row r="44" spans="1:13">
      <c r="A44" s="78" t="s">
        <v>283</v>
      </c>
      <c r="B44" s="78"/>
      <c r="C44" s="114" t="s">
        <v>296</v>
      </c>
      <c r="D44" s="287">
        <v>-218705</v>
      </c>
      <c r="E44" s="329">
        <v>-283305</v>
      </c>
      <c r="F44" s="127">
        <v>0</v>
      </c>
      <c r="G44" s="114"/>
      <c r="H44" s="145"/>
      <c r="I44" s="185">
        <f>2.67-I43</f>
        <v>0</v>
      </c>
      <c r="J44" s="187" t="s">
        <v>291</v>
      </c>
      <c r="K44" s="124"/>
      <c r="L44" s="2"/>
      <c r="M44" s="2"/>
    </row>
    <row r="45" spans="1:13">
      <c r="A45" s="10"/>
      <c r="B45" s="10"/>
      <c r="C45" s="161" t="s">
        <v>286</v>
      </c>
      <c r="D45" s="216">
        <v>179187.64</v>
      </c>
      <c r="E45" s="323">
        <f>156626.996694772</f>
        <v>156626.99669477201</v>
      </c>
      <c r="F45" s="216">
        <v>172000</v>
      </c>
      <c r="G45" s="15"/>
      <c r="H45" s="12"/>
      <c r="K45" s="124"/>
      <c r="L45" s="2"/>
      <c r="M45" s="2"/>
    </row>
    <row r="46" spans="1:13">
      <c r="C46" s="114"/>
      <c r="D46" s="114"/>
      <c r="E46" s="320"/>
      <c r="F46" s="114"/>
      <c r="G46" s="114"/>
      <c r="H46" s="114"/>
      <c r="I46" s="114"/>
      <c r="J46" s="124"/>
      <c r="K46" s="114"/>
      <c r="M46" s="2"/>
    </row>
    <row r="47" spans="1:13" ht="18.75" thickBot="1">
      <c r="C47" s="157" t="s">
        <v>93</v>
      </c>
      <c r="D47" s="158">
        <f>D4+D15+D23+D32+D40</f>
        <v>12631976.630000001</v>
      </c>
      <c r="E47" s="315">
        <f>E4+E15+E23+E32+E40</f>
        <v>13775195.869999999</v>
      </c>
      <c r="F47" s="158">
        <f>F4+F15+F23+F32+F40</f>
        <v>13824000</v>
      </c>
      <c r="G47" s="189"/>
      <c r="H47" s="191" t="s">
        <v>309</v>
      </c>
      <c r="I47" s="190">
        <f>I13+I19+I30+I34+I43</f>
        <v>17.79</v>
      </c>
      <c r="J47" s="124"/>
      <c r="K47" s="15"/>
      <c r="L47" s="12"/>
    </row>
    <row r="48" spans="1:13">
      <c r="C48" s="192" t="s">
        <v>310</v>
      </c>
      <c r="D48" s="199"/>
      <c r="E48" s="338">
        <f>E47-Kompetanse!E14-Kompetanse!E28-Kompetanse!E45-Kompetanse!E76-Kompetanse!E90-Kompetanse!E118-Kompetanse!E133-Politikk!E7-Politikk!E25-Politikk!E39-Forvaltning!E14-Forvaltning!E29-Forvaltning!E43-Forvaltning!E57-Forvaltning!E70-Kommunikasjon!E9-Kommunikasjon!E24-Administrasjon!E22-Kompetanse!E103-Forvaltning!E82-Kompetanse!E59</f>
        <v>4.2575335828587413E-4</v>
      </c>
      <c r="F48" s="199"/>
      <c r="G48" s="193"/>
      <c r="H48" s="188"/>
      <c r="I48" s="185">
        <f>17.79-I47</f>
        <v>0</v>
      </c>
      <c r="J48" s="187" t="s">
        <v>291</v>
      </c>
      <c r="K48" s="15"/>
    </row>
    <row r="49" spans="1:13">
      <c r="C49" s="192"/>
      <c r="D49" s="194"/>
      <c r="E49" s="338"/>
      <c r="F49" s="214"/>
      <c r="H49" s="114"/>
      <c r="I49" s="114"/>
      <c r="J49" s="124"/>
      <c r="K49" s="15"/>
    </row>
    <row r="50" spans="1:13">
      <c r="A50" s="82"/>
      <c r="B50" s="82"/>
      <c r="C50" s="307" t="s">
        <v>311</v>
      </c>
      <c r="D50" s="308" t="str">
        <f>'Budsjett 2024'!D$8</f>
        <v>Rekneskap 2023</v>
      </c>
      <c r="E50" s="339" t="str">
        <f>'Budsjett 2024'!E$8</f>
        <v>Reknskap 2024</v>
      </c>
      <c r="F50" s="308" t="str">
        <f>'Budsjett 2024'!F$8</f>
        <v>Budsjett 2024 rev. 2</v>
      </c>
      <c r="G50" s="200"/>
      <c r="H50" s="214"/>
      <c r="J50" s="89"/>
      <c r="K50" s="89"/>
      <c r="L50" s="82"/>
      <c r="M50" s="82"/>
    </row>
    <row r="51" spans="1:13">
      <c r="A51" s="88">
        <v>5900</v>
      </c>
      <c r="B51" s="82"/>
      <c r="C51" s="89" t="s">
        <v>312</v>
      </c>
      <c r="D51" s="90">
        <v>11806.95</v>
      </c>
      <c r="E51" s="314">
        <v>18532.61</v>
      </c>
      <c r="F51" s="90">
        <v>15000</v>
      </c>
      <c r="G51" s="88"/>
      <c r="J51" s="89"/>
      <c r="K51" s="89"/>
      <c r="L51" s="82"/>
      <c r="M51" s="82"/>
    </row>
    <row r="52" spans="1:13">
      <c r="A52" s="88">
        <v>5911</v>
      </c>
      <c r="B52" s="82"/>
      <c r="C52" s="89" t="s">
        <v>313</v>
      </c>
      <c r="D52" s="90">
        <v>121573.35</v>
      </c>
      <c r="E52" s="314">
        <v>123137.75</v>
      </c>
      <c r="F52" s="90">
        <v>150000</v>
      </c>
      <c r="G52" s="88"/>
      <c r="I52" s="214"/>
      <c r="K52" s="89"/>
      <c r="L52" s="82"/>
      <c r="M52" s="82"/>
    </row>
    <row r="53" spans="1:13">
      <c r="A53" s="88">
        <v>5912</v>
      </c>
      <c r="B53" s="82"/>
      <c r="C53" s="89" t="s">
        <v>314</v>
      </c>
      <c r="D53" s="90">
        <v>-43200</v>
      </c>
      <c r="E53" s="314">
        <v>-39010</v>
      </c>
      <c r="F53" s="90">
        <v>-45000</v>
      </c>
      <c r="G53" s="88"/>
      <c r="I53" s="89"/>
      <c r="J53" s="89"/>
      <c r="K53" s="89"/>
      <c r="L53" s="82"/>
      <c r="M53" s="82"/>
    </row>
    <row r="54" spans="1:13">
      <c r="A54" s="88">
        <v>5915</v>
      </c>
      <c r="B54" s="82"/>
      <c r="C54" s="89" t="s">
        <v>315</v>
      </c>
      <c r="D54" s="90">
        <v>0</v>
      </c>
      <c r="E54" s="314">
        <v>1140</v>
      </c>
      <c r="F54" s="90">
        <v>1000</v>
      </c>
      <c r="G54" s="88"/>
      <c r="I54" s="89"/>
      <c r="J54" s="89"/>
      <c r="K54" s="89"/>
      <c r="L54" s="82"/>
      <c r="M54" s="82"/>
    </row>
    <row r="55" spans="1:13">
      <c r="A55" s="88">
        <v>5920</v>
      </c>
      <c r="B55" s="82"/>
      <c r="C55" s="89" t="s">
        <v>316</v>
      </c>
      <c r="D55" s="90">
        <v>9525.25</v>
      </c>
      <c r="E55" s="314">
        <f>8758.75+904.17</f>
        <v>9662.92</v>
      </c>
      <c r="F55" s="90">
        <v>10000</v>
      </c>
      <c r="G55" s="88"/>
      <c r="I55" s="89"/>
      <c r="J55" s="89"/>
      <c r="K55" s="89"/>
      <c r="L55" s="82"/>
      <c r="M55" s="82"/>
    </row>
    <row r="56" spans="1:13">
      <c r="A56" s="88">
        <v>5930</v>
      </c>
      <c r="B56" s="82"/>
      <c r="C56" s="89" t="s">
        <v>317</v>
      </c>
      <c r="D56" s="90">
        <f>775214-D57</f>
        <v>576538</v>
      </c>
      <c r="E56" s="314">
        <v>501890</v>
      </c>
      <c r="F56" s="90">
        <v>600000</v>
      </c>
      <c r="G56" s="88"/>
      <c r="H56" s="214"/>
      <c r="J56" s="89"/>
      <c r="K56" s="89"/>
      <c r="L56" s="82"/>
      <c r="M56" s="82"/>
    </row>
    <row r="57" spans="1:13">
      <c r="A57" s="88">
        <v>5930</v>
      </c>
      <c r="B57" s="82"/>
      <c r="C57" s="89" t="s">
        <v>318</v>
      </c>
      <c r="D57" s="90">
        <v>198676</v>
      </c>
      <c r="E57" s="314">
        <v>222703</v>
      </c>
      <c r="F57" s="90">
        <v>200000</v>
      </c>
      <c r="G57" s="88"/>
      <c r="J57" s="89"/>
      <c r="K57" s="89"/>
      <c r="L57" s="82"/>
      <c r="M57" s="82"/>
    </row>
    <row r="58" spans="1:13">
      <c r="A58" s="88">
        <v>5931</v>
      </c>
      <c r="B58" s="82"/>
      <c r="C58" s="89" t="s">
        <v>319</v>
      </c>
      <c r="D58" s="90">
        <v>5108</v>
      </c>
      <c r="E58" s="314">
        <v>1216</v>
      </c>
      <c r="F58" s="90">
        <v>5000</v>
      </c>
      <c r="G58" s="88" t="s">
        <v>320</v>
      </c>
      <c r="H58" s="234"/>
      <c r="I58" s="159"/>
      <c r="J58" s="89"/>
      <c r="K58" s="89"/>
      <c r="L58" s="82"/>
      <c r="M58" s="82"/>
    </row>
    <row r="59" spans="1:13">
      <c r="A59" s="88">
        <v>5933</v>
      </c>
      <c r="B59" s="82"/>
      <c r="C59" s="89" t="s">
        <v>321</v>
      </c>
      <c r="D59" s="90">
        <v>11388</v>
      </c>
      <c r="E59" s="314">
        <v>11083</v>
      </c>
      <c r="F59" s="90">
        <v>13000</v>
      </c>
      <c r="G59" s="88"/>
      <c r="H59" s="214"/>
      <c r="J59" s="89"/>
      <c r="K59" s="89"/>
      <c r="L59" s="82"/>
      <c r="M59" s="82"/>
    </row>
    <row r="60" spans="1:13">
      <c r="A60" s="88">
        <v>5940</v>
      </c>
      <c r="B60" s="82"/>
      <c r="C60" s="89" t="s">
        <v>322</v>
      </c>
      <c r="D60" s="90">
        <v>36217.5</v>
      </c>
      <c r="E60" s="314">
        <f>32081.5+4057.42</f>
        <v>36138.92</v>
      </c>
      <c r="F60" s="90">
        <v>35000</v>
      </c>
      <c r="G60" s="88"/>
      <c r="I60" s="89"/>
      <c r="J60" s="89"/>
      <c r="K60" s="89"/>
      <c r="L60" s="82"/>
      <c r="M60" s="82"/>
    </row>
    <row r="61" spans="1:13">
      <c r="A61" s="220" t="s">
        <v>323</v>
      </c>
      <c r="B61" s="82"/>
      <c r="C61" s="89" t="s">
        <v>324</v>
      </c>
      <c r="D61" s="90">
        <f>79.6+76152.36+2130+284.2+44</f>
        <v>78690.16</v>
      </c>
      <c r="E61" s="314">
        <f>94601.33-8350+7405</f>
        <v>93656.33</v>
      </c>
      <c r="F61" s="90">
        <v>85000</v>
      </c>
      <c r="G61" s="88"/>
      <c r="I61" s="89"/>
      <c r="J61" s="89"/>
      <c r="K61" s="89"/>
      <c r="L61" s="82"/>
      <c r="M61" s="82"/>
    </row>
    <row r="62" spans="1:13">
      <c r="A62" s="220">
        <v>5990</v>
      </c>
      <c r="B62" s="82"/>
      <c r="C62" s="89" t="s">
        <v>325</v>
      </c>
      <c r="D62" s="90">
        <f>9891.36+771</f>
        <v>10662.36</v>
      </c>
      <c r="E62" s="314">
        <f>8446-3650-400-399-400-259-399-399</f>
        <v>2540</v>
      </c>
      <c r="F62" s="90">
        <v>15000</v>
      </c>
      <c r="G62" s="88"/>
      <c r="I62" s="89"/>
      <c r="J62" s="89"/>
      <c r="K62" s="89"/>
      <c r="L62" s="82"/>
      <c r="M62" s="82"/>
    </row>
    <row r="63" spans="1:13">
      <c r="A63" s="220" t="s">
        <v>326</v>
      </c>
      <c r="B63" s="82"/>
      <c r="C63" s="89" t="s">
        <v>327</v>
      </c>
      <c r="D63" s="90">
        <f>1794+115</f>
        <v>1909</v>
      </c>
      <c r="E63" s="314">
        <f>4050-(-3650-400-399-400-259-399-399)</f>
        <v>9956</v>
      </c>
      <c r="F63" s="90">
        <v>10000</v>
      </c>
      <c r="G63" s="88"/>
      <c r="I63" s="89"/>
      <c r="J63" s="89"/>
      <c r="K63" s="89"/>
      <c r="M63" s="82"/>
    </row>
    <row r="64" spans="1:13">
      <c r="A64" s="220" t="s">
        <v>326</v>
      </c>
      <c r="B64" s="82"/>
      <c r="C64" s="89" t="s">
        <v>328</v>
      </c>
      <c r="D64" s="90">
        <f>13337.5+344.2</f>
        <v>13681.7</v>
      </c>
      <c r="E64" s="340">
        <v>50946.83</v>
      </c>
      <c r="F64" s="90">
        <v>45000</v>
      </c>
      <c r="G64" s="88" t="s">
        <v>329</v>
      </c>
      <c r="J64" s="89"/>
      <c r="K64" s="89"/>
      <c r="M64" s="82"/>
    </row>
    <row r="65" spans="1:12" ht="18.75" thickBot="1">
      <c r="A65" s="82"/>
      <c r="B65" s="82"/>
      <c r="C65" s="157" t="s">
        <v>93</v>
      </c>
      <c r="D65" s="158">
        <f>SUM(D51:D64)</f>
        <v>1032576.27</v>
      </c>
      <c r="E65" s="315">
        <f>SUM(E51:E64)</f>
        <v>1043593.36</v>
      </c>
      <c r="F65" s="158">
        <f>SUM(F51:F64)</f>
        <v>1139000</v>
      </c>
      <c r="G65" s="114"/>
      <c r="I65" s="89"/>
      <c r="J65" s="124"/>
      <c r="K65" s="89"/>
      <c r="L65" s="82"/>
    </row>
    <row r="66" spans="1:12">
      <c r="C66" s="192" t="s">
        <v>330</v>
      </c>
      <c r="D66" s="88">
        <f>D65-D9-D20-D28-D37-D45</f>
        <v>0</v>
      </c>
      <c r="E66" s="341">
        <f>E65-E9-E20-E28-E37-E45</f>
        <v>3.2014213502407074E-10</v>
      </c>
      <c r="F66" s="201">
        <f>F65-F9-F20-F28-F37-F45</f>
        <v>0</v>
      </c>
      <c r="G66" s="114"/>
      <c r="H66" s="114"/>
      <c r="J66" s="124"/>
      <c r="K66" s="114"/>
    </row>
    <row r="67" spans="1:12">
      <c r="C67" s="192" t="s">
        <v>331</v>
      </c>
      <c r="D67" s="193"/>
      <c r="E67" s="338"/>
      <c r="F67" s="201">
        <f>12685000-F47+F65</f>
        <v>0</v>
      </c>
      <c r="G67" s="124"/>
      <c r="H67" s="114"/>
      <c r="I67" s="114"/>
      <c r="J67" s="114"/>
      <c r="K67" s="114"/>
    </row>
    <row r="68" spans="1:12">
      <c r="F68" s="192"/>
      <c r="G68" s="192"/>
      <c r="H68" s="193"/>
      <c r="I68" s="114"/>
      <c r="J68" s="124"/>
      <c r="K68" s="124"/>
    </row>
    <row r="69" spans="1:12">
      <c r="C69" s="193"/>
      <c r="D69" s="193"/>
      <c r="E69" s="338"/>
      <c r="F69" s="192"/>
      <c r="G69" s="192"/>
      <c r="H69" s="199"/>
      <c r="I69" s="114"/>
      <c r="J69" s="124"/>
      <c r="K69" s="124"/>
    </row>
    <row r="70" spans="1:12">
      <c r="C70" s="193"/>
      <c r="D70" s="193"/>
      <c r="E70" s="338"/>
      <c r="F70" s="193"/>
      <c r="G70" s="193"/>
      <c r="H70" s="88"/>
      <c r="I70" s="114"/>
      <c r="J70" s="124"/>
      <c r="K70" s="124"/>
    </row>
    <row r="71" spans="1:12">
      <c r="C71" s="193"/>
      <c r="D71" s="193"/>
      <c r="E71" s="338"/>
      <c r="F71" s="221"/>
      <c r="G71" s="193"/>
      <c r="H71" s="193"/>
      <c r="I71" s="114"/>
      <c r="J71" s="124"/>
      <c r="K71" s="124"/>
    </row>
    <row r="72" spans="1:12">
      <c r="C72" s="193"/>
      <c r="D72" s="193"/>
      <c r="E72" s="338"/>
      <c r="F72" s="195"/>
      <c r="G72" s="195"/>
      <c r="H72" s="32"/>
      <c r="I72" s="114"/>
      <c r="J72" s="124"/>
      <c r="K72" s="124"/>
    </row>
    <row r="73" spans="1:12">
      <c r="C73" s="193"/>
      <c r="D73" s="193"/>
      <c r="E73" s="338"/>
      <c r="F73" s="193"/>
      <c r="G73" s="193"/>
      <c r="H73" s="193"/>
    </row>
  </sheetData>
  <sheetProtection sheet="1" objects="1" scenarios="1" formatCells="0" formatColumns="0" formatRows="0" insertColumns="0" insertRows="0" insertHyperlinks="0" deleteColumns="0" deleteRows="0" sort="0" autoFilter="0" pivotTables="0"/>
  <phoneticPr fontId="7" type="noConversion"/>
  <pageMargins left="0.78740157480314965" right="0.78740157480314965" top="0.98425196850393704" bottom="0.98425196850393704" header="0.51181102362204722" footer="0.51181102362204722"/>
  <pageSetup paperSize="9" fitToHeight="0" orientation="landscape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78DC6-CD7B-4EFF-A197-AC70CD291444}">
  <sheetPr codeName="Ark9">
    <tabColor theme="7" tint="0.59999389629810485"/>
    <pageSetUpPr fitToPage="1"/>
  </sheetPr>
  <dimension ref="A1:H36"/>
  <sheetViews>
    <sheetView showGridLines="0" zoomScale="123" zoomScaleNormal="140" workbookViewId="0">
      <selection activeCell="G38" sqref="G38"/>
    </sheetView>
  </sheetViews>
  <sheetFormatPr defaultColWidth="11.42578125" defaultRowHeight="15"/>
  <cols>
    <col min="1" max="1" width="11.7109375" customWidth="1"/>
    <col min="2" max="2" width="5.28515625" customWidth="1"/>
    <col min="3" max="3" width="65.85546875" bestFit="1" customWidth="1"/>
    <col min="4" max="4" width="25.28515625" customWidth="1"/>
    <col min="5" max="5" width="25.28515625" style="344" customWidth="1"/>
    <col min="6" max="6" width="25.28515625" customWidth="1"/>
    <col min="7" max="7" width="78" style="235" bestFit="1" customWidth="1"/>
  </cols>
  <sheetData>
    <row r="1" spans="1:8" ht="21">
      <c r="A1" s="91" t="s">
        <v>332</v>
      </c>
      <c r="B1" s="91"/>
      <c r="C1" s="14"/>
      <c r="D1" s="2"/>
      <c r="E1" s="313"/>
      <c r="F1" s="2"/>
      <c r="G1" s="381"/>
    </row>
    <row r="2" spans="1:8" ht="16.5">
      <c r="A2" s="2"/>
      <c r="B2" s="2"/>
      <c r="C2" s="2"/>
      <c r="D2" s="2"/>
      <c r="E2" s="313"/>
      <c r="F2" s="2"/>
      <c r="G2" s="381"/>
    </row>
    <row r="3" spans="1:8" ht="16.5">
      <c r="A3" s="74" t="s">
        <v>90</v>
      </c>
      <c r="B3" s="74"/>
      <c r="C3" s="109"/>
      <c r="D3" s="108"/>
      <c r="E3" s="318"/>
      <c r="F3" s="2"/>
      <c r="G3" s="381"/>
    </row>
    <row r="4" spans="1:8" ht="18">
      <c r="A4" s="283">
        <v>96000</v>
      </c>
      <c r="B4" s="283"/>
      <c r="C4" s="284" t="s">
        <v>333</v>
      </c>
      <c r="D4" s="309" t="str">
        <f>'Budsjett 2024'!$D$8</f>
        <v>Rekneskap 2023</v>
      </c>
      <c r="E4" s="342" t="str">
        <f>'Budsjett 2024'!$E$8</f>
        <v>Reknskap 2024</v>
      </c>
      <c r="F4" s="309" t="str">
        <f>'Budsjett 2024'!$F$8</f>
        <v>Budsjett 2024 rev. 2</v>
      </c>
      <c r="G4" s="381"/>
    </row>
    <row r="5" spans="1:8" s="1" customFormat="1" ht="16.5">
      <c r="A5" s="15">
        <v>6017</v>
      </c>
      <c r="B5" s="15"/>
      <c r="C5" s="5" t="s">
        <v>334</v>
      </c>
      <c r="D5" s="7">
        <f>377403.13-Administrasjon!D21</f>
        <v>171315.59</v>
      </c>
      <c r="E5" s="314">
        <f>220743.96</f>
        <v>220743.96</v>
      </c>
      <c r="F5" s="7">
        <v>210000</v>
      </c>
      <c r="G5" s="393"/>
    </row>
    <row r="6" spans="1:8" s="1" customFormat="1" ht="16.5">
      <c r="A6" s="15">
        <v>6018</v>
      </c>
      <c r="B6" s="15"/>
      <c r="C6" s="5" t="s">
        <v>335</v>
      </c>
      <c r="D6" s="7">
        <v>0</v>
      </c>
      <c r="E6" s="314">
        <v>42996.480000000003</v>
      </c>
      <c r="F6" s="7">
        <v>40000</v>
      </c>
      <c r="G6" s="381"/>
    </row>
    <row r="7" spans="1:8" s="1" customFormat="1" ht="16.5">
      <c r="A7" s="15">
        <v>6100</v>
      </c>
      <c r="B7" s="15"/>
      <c r="C7" s="5" t="s">
        <v>336</v>
      </c>
      <c r="D7" s="7">
        <v>0</v>
      </c>
      <c r="E7" s="317">
        <f>110+15.52+51.2+275.1</f>
        <v>451.82000000000005</v>
      </c>
      <c r="F7" s="7">
        <v>25000</v>
      </c>
      <c r="G7" s="393"/>
      <c r="H7" s="381"/>
    </row>
    <row r="8" spans="1:8" s="1" customFormat="1" ht="16.5">
      <c r="A8" s="15">
        <v>6300</v>
      </c>
      <c r="B8" s="15"/>
      <c r="C8" s="5" t="s">
        <v>337</v>
      </c>
      <c r="D8" s="7">
        <v>2062171.62</v>
      </c>
      <c r="E8" s="314">
        <v>3130710.49</v>
      </c>
      <c r="F8" s="7">
        <v>3000000</v>
      </c>
      <c r="G8" s="381" t="s">
        <v>338</v>
      </c>
      <c r="H8" s="7"/>
    </row>
    <row r="9" spans="1:8" s="1" customFormat="1" ht="16.5">
      <c r="A9" s="15">
        <v>6360</v>
      </c>
      <c r="B9" s="15"/>
      <c r="C9" s="5" t="s">
        <v>339</v>
      </c>
      <c r="D9" s="7">
        <v>199598.16</v>
      </c>
      <c r="E9" s="314">
        <v>94519.39</v>
      </c>
      <c r="F9" s="7">
        <v>200000</v>
      </c>
      <c r="G9" s="381" t="s">
        <v>340</v>
      </c>
    </row>
    <row r="10" spans="1:8" s="1" customFormat="1" ht="16.5">
      <c r="A10" s="15">
        <v>6399</v>
      </c>
      <c r="B10" s="15"/>
      <c r="C10" s="5" t="s">
        <v>341</v>
      </c>
      <c r="D10" s="7">
        <v>0</v>
      </c>
      <c r="E10" s="314">
        <v>1905</v>
      </c>
      <c r="F10" s="7">
        <v>0</v>
      </c>
      <c r="G10" s="381" t="s">
        <v>342</v>
      </c>
    </row>
    <row r="11" spans="1:8" s="1" customFormat="1" ht="16.5">
      <c r="A11" s="15">
        <v>6430</v>
      </c>
      <c r="B11" s="15"/>
      <c r="C11" s="5" t="s">
        <v>343</v>
      </c>
      <c r="D11" s="7">
        <v>78727.27</v>
      </c>
      <c r="E11" s="314">
        <v>71191.009999999995</v>
      </c>
      <c r="F11" s="7">
        <v>80000</v>
      </c>
      <c r="G11" s="381"/>
    </row>
    <row r="12" spans="1:8" s="1" customFormat="1" ht="16.5">
      <c r="A12" s="15">
        <v>6440</v>
      </c>
      <c r="B12" s="15"/>
      <c r="C12" s="5" t="s">
        <v>344</v>
      </c>
      <c r="D12" s="7">
        <v>0</v>
      </c>
      <c r="E12" s="314">
        <v>394.76</v>
      </c>
      <c r="F12" s="7">
        <v>0</v>
      </c>
      <c r="G12" s="381"/>
    </row>
    <row r="13" spans="1:8" s="1" customFormat="1" ht="16.5">
      <c r="A13" s="15">
        <v>6520</v>
      </c>
      <c r="B13" s="15"/>
      <c r="C13" s="5" t="s">
        <v>345</v>
      </c>
      <c r="D13" s="7">
        <v>11186.19</v>
      </c>
      <c r="E13" s="314">
        <v>0</v>
      </c>
      <c r="F13" s="7">
        <v>30000</v>
      </c>
      <c r="G13" s="381" t="s">
        <v>263</v>
      </c>
    </row>
    <row r="14" spans="1:8" s="1" customFormat="1" ht="16.5">
      <c r="A14" s="15">
        <v>6540</v>
      </c>
      <c r="B14" s="15"/>
      <c r="C14" s="5" t="s">
        <v>346</v>
      </c>
      <c r="D14" s="7">
        <v>8905.25</v>
      </c>
      <c r="E14" s="314">
        <v>61312.87</v>
      </c>
      <c r="F14" s="7">
        <v>20000</v>
      </c>
      <c r="G14" s="381" t="s">
        <v>265</v>
      </c>
    </row>
    <row r="15" spans="1:8" s="1" customFormat="1" ht="16.5">
      <c r="A15" s="15">
        <v>6551</v>
      </c>
      <c r="B15" s="15"/>
      <c r="C15" s="5" t="s">
        <v>347</v>
      </c>
      <c r="D15" s="7">
        <v>36393.279999999999</v>
      </c>
      <c r="E15" s="314">
        <v>70117</v>
      </c>
      <c r="F15" s="7">
        <v>70000</v>
      </c>
      <c r="G15" s="381"/>
      <c r="H15" s="381"/>
    </row>
    <row r="16" spans="1:8" s="1" customFormat="1" ht="16.5">
      <c r="A16" s="15">
        <v>6552</v>
      </c>
      <c r="B16" s="15"/>
      <c r="C16" s="4" t="s">
        <v>348</v>
      </c>
      <c r="D16" s="7">
        <v>0</v>
      </c>
      <c r="E16" s="314">
        <v>50812.5</v>
      </c>
      <c r="F16" s="7">
        <v>20000</v>
      </c>
      <c r="G16" s="381" t="s">
        <v>349</v>
      </c>
    </row>
    <row r="17" spans="1:8" s="1" customFormat="1" ht="16.5">
      <c r="A17" s="15">
        <v>6553</v>
      </c>
      <c r="B17" s="15"/>
      <c r="C17" s="5" t="s">
        <v>350</v>
      </c>
      <c r="D17" s="7">
        <v>94425.600000000006</v>
      </c>
      <c r="E17" s="314">
        <v>172466.95</v>
      </c>
      <c r="F17" s="7">
        <v>130000</v>
      </c>
      <c r="G17" s="381" t="s">
        <v>351</v>
      </c>
      <c r="H17" s="381"/>
    </row>
    <row r="18" spans="1:8" s="1" customFormat="1" ht="16.5">
      <c r="A18" s="15">
        <v>6554</v>
      </c>
      <c r="B18" s="15"/>
      <c r="C18" s="5" t="s">
        <v>352</v>
      </c>
      <c r="D18" s="7">
        <v>0</v>
      </c>
      <c r="E18" s="314">
        <v>10264.07</v>
      </c>
      <c r="F18" s="7">
        <v>40000</v>
      </c>
      <c r="G18" s="381"/>
    </row>
    <row r="19" spans="1:8" s="1" customFormat="1" ht="16.5">
      <c r="A19" s="15">
        <v>6600</v>
      </c>
      <c r="B19" s="15"/>
      <c r="C19" s="5" t="s">
        <v>353</v>
      </c>
      <c r="D19" s="7">
        <v>0</v>
      </c>
      <c r="E19" s="314">
        <v>135007.16</v>
      </c>
      <c r="F19" s="7">
        <v>200000</v>
      </c>
      <c r="G19" s="381" t="s">
        <v>354</v>
      </c>
    </row>
    <row r="20" spans="1:8" s="1" customFormat="1" ht="16.5">
      <c r="A20" s="15">
        <v>6610</v>
      </c>
      <c r="B20" s="15"/>
      <c r="C20" s="5" t="s">
        <v>355</v>
      </c>
      <c r="D20" s="7">
        <v>0</v>
      </c>
      <c r="E20" s="314">
        <v>11551.1</v>
      </c>
      <c r="F20" s="7">
        <v>10000</v>
      </c>
      <c r="G20" s="381"/>
    </row>
    <row r="21" spans="1:8" s="1" customFormat="1" ht="16.5">
      <c r="A21" s="15">
        <v>6701</v>
      </c>
      <c r="B21" s="15"/>
      <c r="C21" s="5" t="s">
        <v>356</v>
      </c>
      <c r="D21" s="7">
        <v>229375</v>
      </c>
      <c r="E21" s="314">
        <v>220675.25</v>
      </c>
      <c r="F21" s="7">
        <v>150000</v>
      </c>
      <c r="G21" s="381"/>
    </row>
    <row r="22" spans="1:8" s="1" customFormat="1" ht="16.5">
      <c r="A22" s="15">
        <v>6705</v>
      </c>
      <c r="B22" s="15"/>
      <c r="C22" s="5" t="s">
        <v>357</v>
      </c>
      <c r="D22" s="7">
        <v>829622.77</v>
      </c>
      <c r="E22" s="314">
        <v>826163.97</v>
      </c>
      <c r="F22" s="7">
        <v>850000</v>
      </c>
      <c r="G22" s="381"/>
    </row>
    <row r="23" spans="1:8" s="1" customFormat="1" ht="16.5">
      <c r="A23" s="15">
        <v>6725</v>
      </c>
      <c r="B23" s="15"/>
      <c r="C23" s="5" t="s">
        <v>358</v>
      </c>
      <c r="D23" s="7">
        <v>0</v>
      </c>
      <c r="E23" s="314">
        <v>30500</v>
      </c>
      <c r="F23" s="16">
        <v>30000</v>
      </c>
      <c r="G23" s="381"/>
    </row>
    <row r="24" spans="1:8" s="1" customFormat="1" ht="16.5">
      <c r="A24" s="15">
        <v>6800</v>
      </c>
      <c r="B24" s="15"/>
      <c r="C24" s="5" t="s">
        <v>359</v>
      </c>
      <c r="D24" s="7">
        <v>44291.3</v>
      </c>
      <c r="E24" s="314">
        <v>69618.429999999993</v>
      </c>
      <c r="F24" s="7">
        <v>80000</v>
      </c>
      <c r="G24" s="381"/>
    </row>
    <row r="25" spans="1:8" s="1" customFormat="1" ht="16.5">
      <c r="A25" s="15">
        <v>6840</v>
      </c>
      <c r="B25" s="15"/>
      <c r="C25" s="5" t="s">
        <v>360</v>
      </c>
      <c r="D25" s="7">
        <v>13030.05</v>
      </c>
      <c r="E25" s="314">
        <v>6637.88</v>
      </c>
      <c r="F25" s="7">
        <v>15000</v>
      </c>
      <c r="G25" s="381"/>
    </row>
    <row r="26" spans="1:8" s="1" customFormat="1" ht="16.5">
      <c r="A26" s="15">
        <v>6841</v>
      </c>
      <c r="B26" s="15"/>
      <c r="C26" s="5" t="s">
        <v>361</v>
      </c>
      <c r="D26" s="7">
        <v>23453.66</v>
      </c>
      <c r="E26" s="314">
        <v>19779.5</v>
      </c>
      <c r="F26" s="7">
        <v>25000</v>
      </c>
      <c r="G26" s="381" t="s">
        <v>362</v>
      </c>
    </row>
    <row r="27" spans="1:8" s="1" customFormat="1" ht="16.5">
      <c r="A27" s="15">
        <v>6900</v>
      </c>
      <c r="B27" s="15"/>
      <c r="C27" s="5" t="s">
        <v>363</v>
      </c>
      <c r="D27" s="7">
        <v>6270</v>
      </c>
      <c r="E27" s="314">
        <v>26774.27</v>
      </c>
      <c r="F27" s="7">
        <v>25000</v>
      </c>
      <c r="G27" s="381"/>
    </row>
    <row r="28" spans="1:8" s="1" customFormat="1" ht="16.5">
      <c r="A28" s="15">
        <v>6940</v>
      </c>
      <c r="B28" s="15"/>
      <c r="C28" s="5" t="s">
        <v>364</v>
      </c>
      <c r="D28" s="7">
        <v>169</v>
      </c>
      <c r="E28" s="314">
        <v>121.87</v>
      </c>
      <c r="F28" s="7">
        <v>1000</v>
      </c>
      <c r="G28" s="381"/>
    </row>
    <row r="29" spans="1:8" s="1" customFormat="1" ht="16.5">
      <c r="A29" s="15">
        <v>7170</v>
      </c>
      <c r="B29" s="15"/>
      <c r="C29" s="5" t="s">
        <v>365</v>
      </c>
      <c r="D29" s="7">
        <v>140.13999999999999</v>
      </c>
      <c r="E29" s="314">
        <v>0</v>
      </c>
      <c r="F29" s="7">
        <v>0</v>
      </c>
      <c r="G29" s="288"/>
      <c r="H29" s="4"/>
    </row>
    <row r="30" spans="1:8" s="1" customFormat="1" ht="16.5">
      <c r="A30" s="15">
        <v>7321</v>
      </c>
      <c r="B30" s="15"/>
      <c r="C30" s="5" t="s">
        <v>366</v>
      </c>
      <c r="D30" s="7">
        <v>0</v>
      </c>
      <c r="E30" s="314">
        <v>8959</v>
      </c>
      <c r="F30" s="7">
        <v>10000</v>
      </c>
      <c r="G30" s="288" t="s">
        <v>367</v>
      </c>
      <c r="H30" s="4"/>
    </row>
    <row r="31" spans="1:8" s="1" customFormat="1" ht="16.5">
      <c r="A31" s="15">
        <v>7410</v>
      </c>
      <c r="B31" s="15"/>
      <c r="C31" s="5" t="s">
        <v>368</v>
      </c>
      <c r="D31" s="7">
        <f>-875.56+40974.63</f>
        <v>40099.07</v>
      </c>
      <c r="E31" s="314">
        <v>44884</v>
      </c>
      <c r="F31" s="7">
        <v>45000</v>
      </c>
      <c r="G31" s="381"/>
    </row>
    <row r="32" spans="1:8" s="1" customFormat="1" ht="16.5">
      <c r="A32" s="15">
        <v>7500</v>
      </c>
      <c r="B32" s="15"/>
      <c r="C32" s="5" t="s">
        <v>369</v>
      </c>
      <c r="D32" s="7">
        <f>6460.08</f>
        <v>6460.08</v>
      </c>
      <c r="E32" s="314">
        <f>8318.92+527.42</f>
        <v>8846.34</v>
      </c>
      <c r="F32" s="7">
        <v>6000</v>
      </c>
      <c r="G32" s="381" t="s">
        <v>370</v>
      </c>
    </row>
    <row r="33" spans="1:7" s="1" customFormat="1" ht="16.5">
      <c r="A33" s="15">
        <v>7799</v>
      </c>
      <c r="B33" s="15"/>
      <c r="C33" s="5" t="s">
        <v>371</v>
      </c>
      <c r="D33" s="7">
        <v>0</v>
      </c>
      <c r="E33" s="314">
        <f>2000+0.8</f>
        <v>2000.8</v>
      </c>
      <c r="F33" s="7">
        <v>0</v>
      </c>
      <c r="G33" s="381" t="s">
        <v>372</v>
      </c>
    </row>
    <row r="34" spans="1:7" s="1" customFormat="1" ht="18" thickBot="1">
      <c r="A34" s="77"/>
      <c r="B34" s="77"/>
      <c r="C34" s="75" t="s">
        <v>93</v>
      </c>
      <c r="D34" s="76">
        <f>SUM(D5:D33)</f>
        <v>3855634.03</v>
      </c>
      <c r="E34" s="343">
        <f>SUM(E5:E33)</f>
        <v>5339405.8699999992</v>
      </c>
      <c r="F34" s="76">
        <f t="shared" ref="F34" si="0">SUM(F5:F33)</f>
        <v>5312000</v>
      </c>
      <c r="G34" s="381"/>
    </row>
    <row r="35" spans="1:7" ht="16.5">
      <c r="A35" s="2"/>
      <c r="B35" s="2"/>
      <c r="C35" s="192" t="s">
        <v>310</v>
      </c>
      <c r="D35" s="35"/>
      <c r="E35" s="313">
        <f>E34-Kompetanse!E15-Kompetanse!E29-Kompetanse!E46-Kompetanse!E60-Kompetanse!E77-Kompetanse!E91-Kompetanse!E104-Kompetanse!E119-Politikk!E26-Politikk!E40-Politikk!E8-Forvaltning!E15-Forvaltning!E30-Forvaltning!E44-Forvaltning!E58-Forvaltning!E71-Forvaltning!E83-Kommunikasjon!E10-Administrasjon!E23</f>
        <v>2.1472744410857558E-3</v>
      </c>
      <c r="F35" s="26"/>
      <c r="G35" s="381"/>
    </row>
    <row r="36" spans="1:7" ht="16.5">
      <c r="A36" s="2"/>
      <c r="B36" s="2"/>
      <c r="C36" s="2"/>
      <c r="D36" s="2"/>
      <c r="F36" s="2"/>
      <c r="G36" s="381"/>
    </row>
  </sheetData>
  <sheetProtection sheet="1" objects="1" scenarios="1" formatCells="0" formatColumns="0" formatRows="0" insertColumns="0" insertRows="0" insertHyperlinks="0" deleteColumns="0" deleteRows="0" sort="0" autoFilter="0" pivotTables="0"/>
  <phoneticPr fontId="7" type="noConversion"/>
  <pageMargins left="0.7" right="0.7" top="0.75" bottom="0.75" header="0.3" footer="0.3"/>
  <pageSetup paperSize="9" scale="6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942BA927D4C9747B4CFCADB1A8E4E9F" ma:contentTypeVersion="20" ma:contentTypeDescription="Opprett et nytt dokument." ma:contentTypeScope="" ma:versionID="bd7b6f8d66d61a12126257596f123e61">
  <xsd:schema xmlns:xsd="http://www.w3.org/2001/XMLSchema" xmlns:xs="http://www.w3.org/2001/XMLSchema" xmlns:p="http://schemas.microsoft.com/office/2006/metadata/properties" xmlns:ns2="d94c4e08-268e-46b5-8dba-bdc54c157b54" xmlns:ns3="fa7b8592-0b35-4ec0-9d1c-86c659b3adf3" targetNamespace="http://schemas.microsoft.com/office/2006/metadata/properties" ma:root="true" ma:fieldsID="499150bcef2d7b0e52466781a224e9f4" ns2:_="" ns3:_="">
    <xsd:import namespace="d94c4e08-268e-46b5-8dba-bdc54c157b54"/>
    <xsd:import namespace="fa7b8592-0b35-4ec0-9d1c-86c659b3adf3"/>
    <xsd:element name="properties">
      <xsd:complexType>
        <xsd:sequence>
          <xsd:element name="documentManagement">
            <xsd:complexType>
              <xsd:all>
                <xsd:element ref="ns2:Saksnummer" minOccurs="0"/>
                <xsd:element ref="ns2:M_x00f8_tedato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_dlc_DocId" minOccurs="0"/>
                <xsd:element ref="ns3:_dlc_DocIdUrl" minOccurs="0"/>
                <xsd:element ref="ns3:_dlc_DocIdPersistId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4c4e08-268e-46b5-8dba-bdc54c157b54" elementFormDefault="qualified">
    <xsd:import namespace="http://schemas.microsoft.com/office/2006/documentManagement/types"/>
    <xsd:import namespace="http://schemas.microsoft.com/office/infopath/2007/PartnerControls"/>
    <xsd:element name="Saksnummer" ma:index="8" nillable="true" ma:displayName="Saksnummer" ma:format="Dropdown" ma:internalName="Saksnummer">
      <xsd:simpleType>
        <xsd:restriction base="dms:Text">
          <xsd:maxLength value="255"/>
        </xsd:restriction>
      </xsd:simpleType>
    </xsd:element>
    <xsd:element name="M_x00f8_tedato" ma:index="9" nillable="true" ma:displayName="Møtedato" ma:format="DateOnly" ma:internalName="M_x00f8_tedato">
      <xsd:simpleType>
        <xsd:restriction base="dms:DateTime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demerkelapper" ma:readOnly="false" ma:fieldId="{5cf76f15-5ced-4ddc-b409-7134ff3c332f}" ma:taxonomyMulti="true" ma:sspId="09ec2e36-fd49-4390-bcc7-5730a7c022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7b8592-0b35-4ec0-9d1c-86c659b3adf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_dlc_DocId" ma:index="14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_dlc_DocIdUrl" ma:index="15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6" nillable="true" ma:displayName="Taxonomy Catch All Column" ma:hidden="true" ma:list="{64af99d9-a817-40c9-b047-95dbe09c050d}" ma:internalName="TaxCatchAll" ma:showField="CatchAllData" ma:web="fa7b8592-0b35-4ec0-9d1c-86c659b3ad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a7b8592-0b35-4ec0-9d1c-86c659b3adf3">
      <UserInfo>
        <DisplayName/>
        <AccountId xsi:nil="true"/>
        <AccountType/>
      </UserInfo>
    </SharedWithUsers>
    <TaxCatchAll xmlns="fa7b8592-0b35-4ec0-9d1c-86c659b3adf3" xsi:nil="true"/>
    <lcf76f155ced4ddcb4097134ff3c332f xmlns="d94c4e08-268e-46b5-8dba-bdc54c157b54">
      <Terms xmlns="http://schemas.microsoft.com/office/infopath/2007/PartnerControls"/>
    </lcf76f155ced4ddcb4097134ff3c332f>
    <Saksnummer xmlns="d94c4e08-268e-46b5-8dba-bdc54c157b54" xsi:nil="true"/>
    <M_x00f8_tedato xmlns="d94c4e08-268e-46b5-8dba-bdc54c157b54" xsi:nil="true"/>
    <_dlc_DocId xmlns="fa7b8592-0b35-4ec0-9d1c-86c659b3adf3">SEKR-941598360-256972</_dlc_DocId>
    <_dlc_DocIdUrl xmlns="fa7b8592-0b35-4ec0-9d1c-86c659b3adf3">
      <Url>https://lnuno.sharepoint.com/sites/sekretariatet/_layouts/15/DocIdRedir.aspx?ID=SEKR-941598360-256972</Url>
      <Description>SEKR-941598360-256972</Description>
    </_dlc_DocIdUrl>
  </documentManagement>
</p:properties>
</file>

<file path=customXml/itemProps1.xml><?xml version="1.0" encoding="utf-8"?>
<ds:datastoreItem xmlns:ds="http://schemas.openxmlformats.org/officeDocument/2006/customXml" ds:itemID="{8802F021-49E8-444B-A92E-32A89EE6471A}"/>
</file>

<file path=customXml/itemProps2.xml><?xml version="1.0" encoding="utf-8"?>
<ds:datastoreItem xmlns:ds="http://schemas.openxmlformats.org/officeDocument/2006/customXml" ds:itemID="{07973D70-D5CC-4696-B490-0D1DE3FB959B}"/>
</file>

<file path=customXml/itemProps3.xml><?xml version="1.0" encoding="utf-8"?>
<ds:datastoreItem xmlns:ds="http://schemas.openxmlformats.org/officeDocument/2006/customXml" ds:itemID="{EAAB661B-3776-46B3-B487-6B7249DED439}"/>
</file>

<file path=customXml/itemProps4.xml><?xml version="1.0" encoding="utf-8"?>
<ds:datastoreItem xmlns:ds="http://schemas.openxmlformats.org/officeDocument/2006/customXml" ds:itemID="{53F4C3EE-C654-40E7-B340-47B273D74CC2}"/>
</file>

<file path=docMetadata/LabelInfo.xml><?xml version="1.0" encoding="utf-8"?>
<clbl:labelList xmlns:clbl="http://schemas.microsoft.com/office/2020/mipLabelMetadata">
  <clbl:label id="{689edcde-fb62-4467-aef0-3afe537d0ad0}" enabled="0" method="" siteId="{689edcde-fb62-4467-aef0-3afe537d0ad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lnu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 M. Ulvestad</dc:creator>
  <cp:keywords/>
  <dc:description/>
  <cp:lastModifiedBy>Kristoffer Øksnes Arentsen</cp:lastModifiedBy>
  <cp:revision/>
  <dcterms:created xsi:type="dcterms:W3CDTF">2003-03-06T11:29:34Z</dcterms:created>
  <dcterms:modified xsi:type="dcterms:W3CDTF">2025-03-10T12:23:19Z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0x0101007942BA927D4C9747B4CFCADB1A8E4E9F</vt:lpwstr>
  </property>
  <property fmtid="{D5CDD505-2E9C-101B-9397-08002B2CF9AE}" pid="3" name="_dlc_DocIdItemGuid">
    <vt:lpwstr>81078fd9-1f9a-4277-8884-a9d3bdbbacbc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ediaServiceImageTags">
    <vt:lpwstr/>
  </property>
  <property fmtid="{D5CDD505-2E9C-101B-9397-08002B2CF9AE}" pid="8" name="Order">
    <vt:r8>25652500</vt:r8>
  </property>
  <property fmtid="{D5CDD505-2E9C-101B-9397-08002B2CF9AE}" pid="9" name="xd_Signature">
    <vt:bool>false</vt:bool>
  </property>
  <property fmtid="{D5CDD505-2E9C-101B-9397-08002B2CF9AE}" pid="10" name="xd_ProgID">
    <vt:lpwstr/>
  </property>
  <property fmtid="{D5CDD505-2E9C-101B-9397-08002B2CF9AE}" pid="11" name="TemplateUrl">
    <vt:lpwstr/>
  </property>
</Properties>
</file>