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lnuno.sharepoint.com/sites/sekretariatet/Organisasjon/2 Styringsorganer/1 Representantskapsmøtet (BUT)/BUT 2026/sakspapirer/Til utsending-publisering/"/>
    </mc:Choice>
  </mc:AlternateContent>
  <xr:revisionPtr revIDLastSave="128" documentId="8_{1EBCA9A7-5A9B-44B5-9182-04B81770A1BA}" xr6:coauthVersionLast="47" xr6:coauthVersionMax="47" xr10:uidLastSave="{A19C9366-9034-4954-8F71-71206879B4D8}"/>
  <bookViews>
    <workbookView xWindow="13485" yWindow="3285" windowWidth="18645" windowHeight="12645" tabRatio="797" firstSheet="4" activeTab="8" xr2:uid="{00000000-000D-0000-FFFF-FFFF00000000}"/>
  </bookViews>
  <sheets>
    <sheet name="Budsjett 2025" sheetId="7" r:id="rId1"/>
    <sheet name="Inntekter" sheetId="29" r:id="rId2"/>
    <sheet name="Kompetanse" sheetId="33" r:id="rId3"/>
    <sheet name="Politikk" sheetId="32" r:id="rId4"/>
    <sheet name="Forvaltning" sheetId="28" r:id="rId5"/>
    <sheet name="Kommunikasjon" sheetId="39" r:id="rId6"/>
    <sheet name="Administrasjon" sheetId="36" r:id="rId7"/>
    <sheet name="Lønns- og personalkostnader" sheetId="44" r:id="rId8"/>
    <sheet name="Fordelte felleskostnader" sheetId="31" r:id="rId9"/>
  </sheets>
  <definedNames>
    <definedName name="regnskap">'Budsjett 2025'!$D$8</definedName>
    <definedName name="Årsverk_ADMINISTRASJON">'Lønns- og personalkostnader'!$I$43</definedName>
    <definedName name="Årsverk_AKS">'Lønns- og personalkostnader'!$I$24</definedName>
    <definedName name="Årsverk_Bærekraft_prosjekt">'Lønns- og personalkostnader'!$I$9</definedName>
    <definedName name="Årsverk_Bærekraftsstøtta">'Lønns- og personalkostnader'!$I$27</definedName>
    <definedName name="Årsverk_Flere_med">'Lønns- og personalkostnader'!$I$7</definedName>
    <definedName name="Årsverk_FN_Europa_Norden">'Lønns- og personalkostnader'!$I$16</definedName>
    <definedName name="Årsverk_forum">'Lønns- og personalkostnader'!#REF!</definedName>
    <definedName name="Årsverk_FORVALTNING">'Lønns- og personalkostnader'!$I$30</definedName>
    <definedName name="Årsverk_forvaltningsutveksling">'Lønns- og personalkostnader'!$I$29</definedName>
    <definedName name="Årsverk_Frifond">'Lønns- og personalkostnader'!$I$23</definedName>
    <definedName name="Årsverk_frifond25">'Lønns- og personalkostnader'!$I$29</definedName>
    <definedName name="årsverk_frifond255">'Lønns- og personalkostnader'!$I$28</definedName>
    <definedName name="Årsverk_Friofond25">'Lønns- og personalkostnader'!$I$28</definedName>
    <definedName name="Årsverk_HatHets">'Lønns- og personalkostnader'!$I$8</definedName>
    <definedName name="Årsverk_Ikke_fordeltbare_adm">'Lønns- og personalkostnader'!$I$42</definedName>
    <definedName name="Årsverk_Interessepolitikk">'Lønns- og personalkostnader'!$I$15</definedName>
    <definedName name="Årsverk_Komm">'Lønns- og personalkostnader'!$I$33</definedName>
    <definedName name="Årsverk_KOMMUNIKASJON">'Lønns- og personalkostnader'!$I$35</definedName>
    <definedName name="Årsverk_KOMPETANSE">'Lønns- og personalkostnader'!$I$12</definedName>
    <definedName name="Årsverk_Kultur">'Lønns- og personalkostnader'!$I$25</definedName>
    <definedName name="Årsverk_Kurs_komp_veil">'Lønns- og personalkostnader'!$I$5</definedName>
    <definedName name="Årsverk_Lokaler">'Lønns- og personalkostnader'!$I$10</definedName>
    <definedName name="Årsverk_MI">'Lønns- og personalkostnader'!$I$26</definedName>
    <definedName name="Årsverk_NMR">'Lønns- og personalkostnader'!$I$17</definedName>
    <definedName name="Årsverk_NN">'Lønns- og personalkostnader'!$I$11</definedName>
    <definedName name="Årsverk_Nord">'Lønns- og personalkostnader'!#REF!</definedName>
    <definedName name="Årsverk_POLITIKK">'Lønns- og personalkostnader'!$I$18</definedName>
    <definedName name="Årsverk_TOTALT">'Lønns- og personalkostnader'!$I$47</definedName>
    <definedName name="Årsverk_Trygg">'Lønns- og personalkostnader'!$I$6</definedName>
    <definedName name="Årsverk_Valgkampanje">'Lønns- og personalkostnader'!$I$34</definedName>
    <definedName name="Årsverk_Veiledning_korona">'Lønns- og personalkostnader'!#REF!</definedName>
    <definedName name="Årverk_forvaltningsutveksling">'Lønns- og personalkostnader'!$I$29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9" l="1"/>
  <c r="E28" i="39"/>
  <c r="F28" i="39"/>
  <c r="E29" i="39"/>
  <c r="E23" i="36" l="1"/>
  <c r="G50" i="31"/>
  <c r="G49" i="31"/>
  <c r="G51" i="31" s="1"/>
  <c r="E19" i="31"/>
  <c r="E14" i="33"/>
  <c r="D81" i="7"/>
  <c r="F80" i="7"/>
  <c r="F79" i="7"/>
  <c r="F78" i="7"/>
  <c r="E71" i="33"/>
  <c r="E22" i="32"/>
  <c r="E92" i="28"/>
  <c r="E65" i="28"/>
  <c r="E41" i="33"/>
  <c r="E124" i="33"/>
  <c r="E48" i="32"/>
  <c r="E22" i="36"/>
  <c r="E65" i="44"/>
  <c r="E29" i="32"/>
  <c r="E125" i="33"/>
  <c r="E27" i="32"/>
  <c r="E38" i="29" l="1"/>
  <c r="E20" i="29"/>
  <c r="E21" i="29"/>
  <c r="E93" i="28"/>
  <c r="E12" i="28"/>
  <c r="E4" i="44"/>
  <c r="E108" i="28"/>
  <c r="E33" i="31"/>
  <c r="E26" i="33"/>
  <c r="E9" i="33"/>
  <c r="E16" i="29"/>
  <c r="E14" i="29"/>
  <c r="E51" i="44"/>
  <c r="E31" i="31"/>
  <c r="E16" i="36"/>
  <c r="F53" i="29"/>
  <c r="E53" i="29"/>
  <c r="E66" i="44"/>
  <c r="E67" i="44" s="1"/>
  <c r="F22" i="36"/>
  <c r="E118" i="33"/>
  <c r="G73" i="7"/>
  <c r="G72" i="7"/>
  <c r="G71" i="7"/>
  <c r="F93" i="33" l="1"/>
  <c r="F78" i="33"/>
  <c r="F79" i="33"/>
  <c r="F62" i="33"/>
  <c r="F45" i="33"/>
  <c r="F28" i="33"/>
  <c r="I5" i="44"/>
  <c r="F66" i="44"/>
  <c r="I7" i="44"/>
  <c r="F64" i="44"/>
  <c r="I42" i="44"/>
  <c r="I23" i="44"/>
  <c r="I9" i="44"/>
  <c r="I8" i="44"/>
  <c r="I6" i="44"/>
  <c r="F12" i="28"/>
  <c r="F4" i="31" l="1"/>
  <c r="F50" i="44"/>
  <c r="F3" i="44"/>
  <c r="F15" i="36"/>
  <c r="F4" i="36"/>
  <c r="F16" i="39"/>
  <c r="F4" i="39"/>
  <c r="F88" i="28"/>
  <c r="F76" i="28"/>
  <c r="F63" i="28"/>
  <c r="F49" i="28"/>
  <c r="F35" i="28"/>
  <c r="F20" i="28"/>
  <c r="F4" i="28"/>
  <c r="F34" i="32"/>
  <c r="F13" i="32"/>
  <c r="F4" i="32"/>
  <c r="F112" i="33"/>
  <c r="F100" i="33"/>
  <c r="F86" i="33"/>
  <c r="F69" i="33"/>
  <c r="F54" i="33"/>
  <c r="F35" i="33"/>
  <c r="F20" i="33"/>
  <c r="F4" i="33"/>
  <c r="F70" i="29"/>
  <c r="F61" i="29"/>
  <c r="F49" i="29"/>
  <c r="F10" i="29"/>
  <c r="F4" i="29"/>
  <c r="F29" i="7"/>
  <c r="F23" i="7"/>
  <c r="F73" i="29"/>
  <c r="F67" i="29"/>
  <c r="F21" i="7" s="1"/>
  <c r="F57" i="29"/>
  <c r="F58" i="29" s="1"/>
  <c r="F19" i="7" s="1"/>
  <c r="F52" i="29"/>
  <c r="F41" i="29"/>
  <c r="F40" i="29"/>
  <c r="F38" i="29"/>
  <c r="F37" i="29"/>
  <c r="F25" i="29"/>
  <c r="F22" i="29"/>
  <c r="F21" i="29"/>
  <c r="F20" i="29"/>
  <c r="F16" i="29"/>
  <c r="F12" i="7" s="1"/>
  <c r="F7" i="29"/>
  <c r="F9" i="7" s="1"/>
  <c r="F33" i="31"/>
  <c r="F16" i="36"/>
  <c r="F11" i="36"/>
  <c r="F12" i="36" s="1"/>
  <c r="F19" i="39"/>
  <c r="F45" i="29" s="1"/>
  <c r="F104" i="28"/>
  <c r="F91" i="28"/>
  <c r="F93" i="28" s="1"/>
  <c r="F79" i="28"/>
  <c r="F43" i="29" s="1"/>
  <c r="F66" i="28"/>
  <c r="F33" i="29" s="1"/>
  <c r="F53" i="28"/>
  <c r="F30" i="29" s="1"/>
  <c r="F39" i="28"/>
  <c r="F31" i="29" s="1"/>
  <c r="F25" i="28"/>
  <c r="F32" i="29" s="1"/>
  <c r="F10" i="28"/>
  <c r="F29" i="29" s="1"/>
  <c r="F39" i="32"/>
  <c r="F42" i="29" s="1"/>
  <c r="F27" i="32"/>
  <c r="F23" i="32"/>
  <c r="F121" i="33"/>
  <c r="F38" i="7" s="1"/>
  <c r="F115" i="33"/>
  <c r="F103" i="33"/>
  <c r="F91" i="33"/>
  <c r="F23" i="29" s="1"/>
  <c r="F74" i="33"/>
  <c r="F24" i="29" s="1"/>
  <c r="F60" i="33"/>
  <c r="F43" i="33"/>
  <c r="F26" i="33"/>
  <c r="F19" i="29" s="1"/>
  <c r="F9" i="33"/>
  <c r="E104" i="28"/>
  <c r="D41" i="29"/>
  <c r="E41" i="29"/>
  <c r="D40" i="29"/>
  <c r="E40" i="29"/>
  <c r="F60" i="7" l="1"/>
  <c r="F46" i="29"/>
  <c r="F15" i="7" s="1"/>
  <c r="F54" i="29"/>
  <c r="F18" i="7" s="1"/>
  <c r="F17" i="7" s="1"/>
  <c r="F26" i="29"/>
  <c r="F13" i="7" s="1"/>
  <c r="F122" i="33"/>
  <c r="F34" i="29"/>
  <c r="F14" i="7" s="1"/>
  <c r="I16" i="44"/>
  <c r="F11" i="7" l="1"/>
  <c r="F25" i="7" s="1"/>
  <c r="E44" i="29"/>
  <c r="D88" i="28"/>
  <c r="D76" i="28"/>
  <c r="D63" i="28"/>
  <c r="D35" i="28"/>
  <c r="D20" i="28"/>
  <c r="D4" i="28"/>
  <c r="D34" i="32"/>
  <c r="D13" i="32"/>
  <c r="D4" i="32"/>
  <c r="D35" i="33"/>
  <c r="D20" i="33"/>
  <c r="D49" i="28"/>
  <c r="E22" i="29" l="1"/>
  <c r="D22" i="29"/>
  <c r="D98" i="28"/>
  <c r="D51" i="7" s="1"/>
  <c r="D93" i="28"/>
  <c r="E88" i="28"/>
  <c r="D104" i="28"/>
  <c r="E23" i="32"/>
  <c r="I15" i="44"/>
  <c r="I27" i="44"/>
  <c r="I25" i="44"/>
  <c r="I24" i="44"/>
  <c r="D99" i="28" l="1"/>
  <c r="I33" i="44"/>
  <c r="E57" i="29" l="1"/>
  <c r="D59" i="28"/>
  <c r="D49" i="7" s="1"/>
  <c r="D53" i="28"/>
  <c r="D45" i="28"/>
  <c r="D48" i="7" s="1"/>
  <c r="D39" i="28"/>
  <c r="D20" i="29"/>
  <c r="D31" i="31"/>
  <c r="D7" i="31"/>
  <c r="D5" i="31"/>
  <c r="D63" i="44"/>
  <c r="D62" i="44"/>
  <c r="D61" i="44"/>
  <c r="D60" i="44"/>
  <c r="D55" i="44"/>
  <c r="D45" i="44"/>
  <c r="D43" i="44"/>
  <c r="D23" i="36"/>
  <c r="D22" i="36"/>
  <c r="D24" i="36" s="1"/>
  <c r="D25" i="36" s="1"/>
  <c r="D9" i="36"/>
  <c r="D7" i="36"/>
  <c r="D12" i="39"/>
  <c r="D84" i="28"/>
  <c r="D79" i="28"/>
  <c r="D43" i="29" s="1"/>
  <c r="D72" i="28"/>
  <c r="D66" i="28"/>
  <c r="D31" i="28"/>
  <c r="D25" i="28"/>
  <c r="D16" i="28"/>
  <c r="D10" i="28"/>
  <c r="D36" i="32"/>
  <c r="D39" i="32" s="1"/>
  <c r="D44" i="32"/>
  <c r="D26" i="32"/>
  <c r="D30" i="32" s="1"/>
  <c r="D18" i="32"/>
  <c r="D23" i="32" s="1"/>
  <c r="D9" i="32"/>
  <c r="D10" i="32" s="1"/>
  <c r="D112" i="33"/>
  <c r="D86" i="33"/>
  <c r="D69" i="33"/>
  <c r="D54" i="33"/>
  <c r="D4" i="33"/>
  <c r="D108" i="33"/>
  <c r="D37" i="7" s="1"/>
  <c r="D103" i="33"/>
  <c r="D100" i="33"/>
  <c r="D121" i="33"/>
  <c r="D115" i="33"/>
  <c r="D96" i="33"/>
  <c r="D91" i="33"/>
  <c r="D78" i="33"/>
  <c r="D82" i="33" s="1"/>
  <c r="D74" i="33"/>
  <c r="D65" i="33"/>
  <c r="D60" i="33"/>
  <c r="D43" i="33"/>
  <c r="D50" i="33"/>
  <c r="D33" i="7" s="1"/>
  <c r="D6" i="29"/>
  <c r="D66" i="33" l="1"/>
  <c r="D11" i="36"/>
  <c r="D12" i="36" s="1"/>
  <c r="D33" i="31"/>
  <c r="D97" i="33"/>
  <c r="D122" i="33"/>
  <c r="D45" i="32"/>
  <c r="D42" i="29"/>
  <c r="D73" i="28"/>
  <c r="D31" i="32"/>
  <c r="D46" i="28"/>
  <c r="D85" i="28"/>
  <c r="D60" i="28"/>
  <c r="D17" i="28"/>
  <c r="D32" i="28"/>
  <c r="D109" i="33"/>
  <c r="D83" i="33"/>
  <c r="D51" i="33"/>
  <c r="D28" i="33"/>
  <c r="D31" i="33" s="1"/>
  <c r="D26" i="33"/>
  <c r="D16" i="33"/>
  <c r="D9" i="33"/>
  <c r="D17" i="33" l="1"/>
  <c r="D32" i="33"/>
  <c r="E103" i="33" l="1"/>
  <c r="E100" i="33"/>
  <c r="E112" i="33"/>
  <c r="E115" i="33"/>
  <c r="D37" i="29"/>
  <c r="I35" i="44" l="1"/>
  <c r="I26" i="44"/>
  <c r="I14" i="44"/>
  <c r="I12" i="44" l="1"/>
  <c r="I13" i="44" s="1"/>
  <c r="F22" i="39"/>
  <c r="D74" i="7"/>
  <c r="E74" i="7"/>
  <c r="D34" i="7" l="1"/>
  <c r="E60" i="33"/>
  <c r="D38" i="29"/>
  <c r="E54" i="33"/>
  <c r="E69" i="33"/>
  <c r="E91" i="33" l="1"/>
  <c r="D52" i="7" l="1"/>
  <c r="E79" i="28"/>
  <c r="E43" i="29" s="1"/>
  <c r="E76" i="28"/>
  <c r="I30" i="44" l="1"/>
  <c r="I31" i="44" s="1"/>
  <c r="F82" i="28" l="1"/>
  <c r="F56" i="28"/>
  <c r="F28" i="28"/>
  <c r="F69" i="28"/>
  <c r="F42" i="28"/>
  <c r="F13" i="28"/>
  <c r="E24" i="39"/>
  <c r="E10" i="28"/>
  <c r="F105" i="28" l="1"/>
  <c r="E105" i="28"/>
  <c r="E39" i="32"/>
  <c r="E42" i="29" s="1"/>
  <c r="E37" i="29" l="1"/>
  <c r="E29" i="7" l="1"/>
  <c r="D29" i="7"/>
  <c r="E56" i="7"/>
  <c r="E73" i="29"/>
  <c r="E23" i="7" s="1"/>
  <c r="E67" i="29"/>
  <c r="E21" i="7" s="1"/>
  <c r="E58" i="29"/>
  <c r="E19" i="7" s="1"/>
  <c r="E52" i="29"/>
  <c r="E25" i="29"/>
  <c r="E12" i="7"/>
  <c r="E7" i="29"/>
  <c r="E9" i="7" s="1"/>
  <c r="E70" i="29"/>
  <c r="D70" i="29"/>
  <c r="E61" i="29"/>
  <c r="D61" i="29"/>
  <c r="E49" i="29"/>
  <c r="D49" i="29"/>
  <c r="E10" i="29"/>
  <c r="D10" i="29"/>
  <c r="E4" i="29"/>
  <c r="D4" i="29"/>
  <c r="E19" i="29"/>
  <c r="E43" i="33"/>
  <c r="E74" i="33"/>
  <c r="E24" i="29" s="1"/>
  <c r="E23" i="29"/>
  <c r="E86" i="33"/>
  <c r="E35" i="33"/>
  <c r="E20" i="33"/>
  <c r="E4" i="33"/>
  <c r="E34" i="32"/>
  <c r="E13" i="32"/>
  <c r="E4" i="32"/>
  <c r="E66" i="28"/>
  <c r="E33" i="29" s="1"/>
  <c r="E53" i="28"/>
  <c r="E30" i="29" s="1"/>
  <c r="E39" i="28"/>
  <c r="E31" i="29" s="1"/>
  <c r="E25" i="28"/>
  <c r="E32" i="29" s="1"/>
  <c r="E29" i="29"/>
  <c r="E63" i="28"/>
  <c r="E49" i="28"/>
  <c r="E35" i="28"/>
  <c r="E20" i="28"/>
  <c r="E4" i="28"/>
  <c r="E19" i="39"/>
  <c r="E25" i="39" s="1"/>
  <c r="E16" i="39"/>
  <c r="D16" i="39"/>
  <c r="E4" i="39"/>
  <c r="D4" i="39"/>
  <c r="E11" i="36"/>
  <c r="E15" i="36"/>
  <c r="D15" i="36"/>
  <c r="E4" i="36"/>
  <c r="D4" i="36"/>
  <c r="E3" i="44"/>
  <c r="D3" i="44"/>
  <c r="D50" i="44"/>
  <c r="E50" i="44"/>
  <c r="E4" i="31"/>
  <c r="D38" i="7"/>
  <c r="E60" i="7" l="1"/>
  <c r="E12" i="36"/>
  <c r="E45" i="29"/>
  <c r="E46" i="29" s="1"/>
  <c r="E15" i="7" s="1"/>
  <c r="E54" i="29"/>
  <c r="E18" i="7" s="1"/>
  <c r="E17" i="7" s="1"/>
  <c r="E34" i="29"/>
  <c r="E14" i="7" s="1"/>
  <c r="E26" i="29"/>
  <c r="E13" i="7" s="1"/>
  <c r="E11" i="7" l="1"/>
  <c r="E25" i="7" s="1"/>
  <c r="D53" i="29"/>
  <c r="D57" i="29"/>
  <c r="D52" i="29"/>
  <c r="D24" i="39" l="1"/>
  <c r="D56" i="7" s="1"/>
  <c r="D19" i="39"/>
  <c r="D25" i="39" l="1"/>
  <c r="D45" i="29"/>
  <c r="I18" i="44" l="1"/>
  <c r="D4" i="31"/>
  <c r="D43" i="7"/>
  <c r="D46" i="29"/>
  <c r="I19" i="44" l="1"/>
  <c r="F42" i="32"/>
  <c r="D67" i="29"/>
  <c r="D29" i="29" l="1"/>
  <c r="I43" i="44" l="1"/>
  <c r="I44" i="44" s="1"/>
  <c r="D23" i="29"/>
  <c r="D25" i="29" l="1"/>
  <c r="D24" i="29" l="1"/>
  <c r="D16" i="29"/>
  <c r="D54" i="29" l="1"/>
  <c r="D19" i="29"/>
  <c r="D26" i="29" s="1"/>
  <c r="I22" i="44" l="1"/>
  <c r="I32" i="44"/>
  <c r="I36" i="44"/>
  <c r="I40" i="44"/>
  <c r="I47" i="44" l="1"/>
  <c r="I48" i="44" s="1"/>
  <c r="F45" i="44" l="1"/>
  <c r="F95" i="33"/>
  <c r="F44" i="28"/>
  <c r="F64" i="33"/>
  <c r="F97" i="28"/>
  <c r="F23" i="36"/>
  <c r="F49" i="33"/>
  <c r="F71" i="28"/>
  <c r="F30" i="33"/>
  <c r="F58" i="28"/>
  <c r="F15" i="33"/>
  <c r="F9" i="44"/>
  <c r="F15" i="28"/>
  <c r="F8" i="32"/>
  <c r="F30" i="28"/>
  <c r="F19" i="44"/>
  <c r="F14" i="44" s="1"/>
  <c r="F107" i="33"/>
  <c r="F11" i="39"/>
  <c r="F29" i="39" s="1"/>
  <c r="F29" i="32"/>
  <c r="F37" i="44"/>
  <c r="F32" i="44" s="1"/>
  <c r="F10" i="39" s="1"/>
  <c r="F81" i="33"/>
  <c r="F40" i="44"/>
  <c r="F27" i="44"/>
  <c r="F22" i="44" s="1"/>
  <c r="F83" i="28"/>
  <c r="F84" i="28" s="1"/>
  <c r="F43" i="32"/>
  <c r="F23" i="39"/>
  <c r="F24" i="39" s="1"/>
  <c r="E83" i="28"/>
  <c r="E43" i="32"/>
  <c r="E49" i="32" s="1"/>
  <c r="E34" i="31" s="1"/>
  <c r="E14" i="44"/>
  <c r="E22" i="44"/>
  <c r="F108" i="28" l="1"/>
  <c r="F44" i="32"/>
  <c r="F43" i="7" s="1"/>
  <c r="F49" i="32"/>
  <c r="F125" i="33"/>
  <c r="F34" i="31"/>
  <c r="F12" i="39"/>
  <c r="F13" i="39" s="1"/>
  <c r="F43" i="28"/>
  <c r="F45" i="28" s="1"/>
  <c r="F46" i="28" s="1"/>
  <c r="F24" i="36"/>
  <c r="F61" i="7" s="1"/>
  <c r="F59" i="7" s="1"/>
  <c r="F85" i="28"/>
  <c r="F52" i="7"/>
  <c r="F70" i="28"/>
  <c r="F72" i="28" s="1"/>
  <c r="F50" i="7" s="1"/>
  <c r="F57" i="28"/>
  <c r="F59" i="28" s="1"/>
  <c r="F60" i="28" s="1"/>
  <c r="F14" i="28"/>
  <c r="F16" i="28" s="1"/>
  <c r="F17" i="28" s="1"/>
  <c r="F29" i="28"/>
  <c r="F31" i="28" s="1"/>
  <c r="F47" i="7" s="1"/>
  <c r="F96" i="28"/>
  <c r="F7" i="32"/>
  <c r="F28" i="32"/>
  <c r="F25" i="39"/>
  <c r="F56" i="7"/>
  <c r="F4" i="44"/>
  <c r="F94" i="33" s="1"/>
  <c r="F67" i="44"/>
  <c r="F45" i="32"/>
  <c r="E98" i="28"/>
  <c r="E51" i="7" s="1"/>
  <c r="E40" i="44"/>
  <c r="E24" i="36" s="1"/>
  <c r="E82" i="28"/>
  <c r="E107" i="28" s="1"/>
  <c r="E48" i="44" s="1"/>
  <c r="E32" i="44"/>
  <c r="E31" i="28"/>
  <c r="E45" i="28"/>
  <c r="E59" i="28"/>
  <c r="E60" i="28" s="1"/>
  <c r="E30" i="32"/>
  <c r="E108" i="33"/>
  <c r="E37" i="7" s="1"/>
  <c r="E47" i="44" l="1"/>
  <c r="F98" i="28"/>
  <c r="F99" i="28" s="1"/>
  <c r="F107" i="28"/>
  <c r="F30" i="32"/>
  <c r="F31" i="32" s="1"/>
  <c r="F48" i="32"/>
  <c r="F25" i="36"/>
  <c r="F55" i="7"/>
  <c r="F54" i="7" s="1"/>
  <c r="F51" i="7"/>
  <c r="F73" i="28"/>
  <c r="E99" i="28"/>
  <c r="F46" i="7"/>
  <c r="F32" i="28"/>
  <c r="F100" i="28"/>
  <c r="F48" i="7"/>
  <c r="F46" i="32"/>
  <c r="F9" i="32"/>
  <c r="F49" i="7"/>
  <c r="F63" i="33"/>
  <c r="F65" i="33" s="1"/>
  <c r="F29" i="33"/>
  <c r="F31" i="33" s="1"/>
  <c r="F47" i="44"/>
  <c r="F80" i="33"/>
  <c r="F82" i="33" s="1"/>
  <c r="F96" i="33"/>
  <c r="F14" i="33"/>
  <c r="F16" i="33" s="1"/>
  <c r="F106" i="33"/>
  <c r="F48" i="33"/>
  <c r="F50" i="33" s="1"/>
  <c r="E109" i="33"/>
  <c r="E72" i="28"/>
  <c r="E50" i="7" s="1"/>
  <c r="E9" i="32"/>
  <c r="E10" i="32" s="1"/>
  <c r="E44" i="32"/>
  <c r="E45" i="32" s="1"/>
  <c r="E84" i="28"/>
  <c r="E52" i="7" s="1"/>
  <c r="E65" i="33"/>
  <c r="E34" i="7" s="1"/>
  <c r="E121" i="33"/>
  <c r="E31" i="33"/>
  <c r="E32" i="33" s="1"/>
  <c r="E50" i="33"/>
  <c r="E51" i="33" s="1"/>
  <c r="E46" i="32"/>
  <c r="E16" i="28"/>
  <c r="E48" i="7"/>
  <c r="E46" i="28"/>
  <c r="E49" i="7"/>
  <c r="E25" i="36"/>
  <c r="E61" i="7"/>
  <c r="E59" i="7" s="1"/>
  <c r="E47" i="7"/>
  <c r="E32" i="28"/>
  <c r="E42" i="7"/>
  <c r="E31" i="32"/>
  <c r="F42" i="7" l="1"/>
  <c r="F108" i="33"/>
  <c r="F109" i="33" s="1"/>
  <c r="F124" i="33"/>
  <c r="F48" i="44" s="1"/>
  <c r="F45" i="7"/>
  <c r="F83" i="33"/>
  <c r="F35" i="7"/>
  <c r="F32" i="33"/>
  <c r="F32" i="7"/>
  <c r="F66" i="33"/>
  <c r="F34" i="7"/>
  <c r="F51" i="33"/>
  <c r="F33" i="7"/>
  <c r="F10" i="32"/>
  <c r="F41" i="7"/>
  <c r="F17" i="33"/>
  <c r="F31" i="7"/>
  <c r="F97" i="33"/>
  <c r="F36" i="7"/>
  <c r="E43" i="7"/>
  <c r="E41" i="7"/>
  <c r="E73" i="28"/>
  <c r="E12" i="39"/>
  <c r="E13" i="39" s="1"/>
  <c r="E96" i="33"/>
  <c r="E36" i="7" s="1"/>
  <c r="E85" i="28"/>
  <c r="E66" i="33"/>
  <c r="E16" i="33"/>
  <c r="E17" i="33" s="1"/>
  <c r="E82" i="33"/>
  <c r="E83" i="33" s="1"/>
  <c r="E122" i="33"/>
  <c r="E38" i="7"/>
  <c r="E33" i="7"/>
  <c r="E32" i="7"/>
  <c r="E46" i="7"/>
  <c r="E45" i="7" s="1"/>
  <c r="E17" i="28"/>
  <c r="F40" i="7" l="1"/>
  <c r="F37" i="7"/>
  <c r="F30" i="7" s="1"/>
  <c r="F63" i="7" s="1"/>
  <c r="F65" i="7" s="1"/>
  <c r="F70" i="7" s="1"/>
  <c r="G70" i="7" s="1"/>
  <c r="E40" i="7"/>
  <c r="E55" i="7"/>
  <c r="E54" i="7" s="1"/>
  <c r="E97" i="33"/>
  <c r="E31" i="7"/>
  <c r="E35" i="7"/>
  <c r="E30" i="7" l="1"/>
  <c r="E63" i="7" s="1"/>
  <c r="E77" i="7" l="1"/>
  <c r="E81" i="7" s="1"/>
  <c r="E65" i="7"/>
  <c r="F77" i="7"/>
  <c r="F81" i="7" s="1"/>
  <c r="F74" i="7"/>
  <c r="D60" i="7" l="1"/>
  <c r="D61" i="7"/>
  <c r="G74" i="7" l="1"/>
  <c r="D36" i="7"/>
  <c r="D58" i="29" l="1"/>
  <c r="D19" i="7" s="1"/>
  <c r="D21" i="7"/>
  <c r="D18" i="7" l="1"/>
  <c r="D17" i="7" s="1"/>
  <c r="D32" i="7" l="1"/>
  <c r="D30" i="29" l="1"/>
  <c r="D50" i="7"/>
  <c r="D33" i="29"/>
  <c r="D31" i="29"/>
  <c r="D47" i="7"/>
  <c r="D32" i="29"/>
  <c r="D34" i="29" l="1"/>
  <c r="D41" i="7"/>
  <c r="D42" i="7"/>
  <c r="D73" i="29"/>
  <c r="D23" i="7" s="1"/>
  <c r="D7" i="29"/>
  <c r="D9" i="7" s="1"/>
  <c r="D55" i="7"/>
  <c r="D54" i="7" s="1"/>
  <c r="D40" i="7" l="1"/>
  <c r="D66" i="44"/>
  <c r="D67" i="44" s="1"/>
  <c r="D13" i="39"/>
  <c r="D46" i="7" l="1"/>
  <c r="D45" i="7" s="1"/>
  <c r="D35" i="7"/>
  <c r="D31" i="7"/>
  <c r="D30" i="7" l="1"/>
  <c r="D15" i="7"/>
  <c r="D14" i="7" l="1"/>
  <c r="D13" i="7"/>
  <c r="D12" i="7"/>
  <c r="D11" i="7" l="1"/>
  <c r="D25" i="7" s="1"/>
  <c r="D32" i="44" l="1"/>
  <c r="D14" i="44"/>
  <c r="D40" i="44"/>
  <c r="D22" i="44"/>
  <c r="D4" i="44" l="1"/>
  <c r="D47" i="44" s="1"/>
  <c r="D59" i="7" l="1"/>
  <c r="D63" i="7" l="1"/>
  <c r="D6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Bjørge Elton Gundersen</author>
  </authors>
  <commentList>
    <comment ref="E28" authorId="0" shapeId="0" xr:uid="{82C8947D-1E89-4A6B-8212-E0C13B63359C}">
      <text>
        <r>
          <rPr>
            <sz val="9"/>
            <rFont val="Geneva"/>
          </rPr>
          <t>Thomas Bjørge Elton Gundersen:
Lagt til 5003.40.90000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Bjørge Elton Gundersen</author>
    <author>Kristoffer Øksnes Arentsen</author>
  </authors>
  <commentList>
    <comment ref="E16" authorId="0" shapeId="0" xr:uid="{AF68D74E-6746-42E4-89F6-DEA3330C633C}">
      <text>
        <r>
          <rPr>
            <sz val="9"/>
            <rFont val="Geneva"/>
          </rPr>
          <t>Thomas Bjørge Elton Gundersen:
KOstnader - Refusjon fra DUF (74302,6)</t>
        </r>
      </text>
    </comment>
    <comment ref="E19" authorId="1" shapeId="0" xr:uid="{4EB4733F-9D7C-4F31-8957-7A7DD076ACA9}">
      <text>
        <r>
          <rPr>
            <sz val="9"/>
            <rFont val="Geneva"/>
          </rPr>
          <t xml:space="preserve">Kristoffer Øksnes Arentsen:
Renter leverandør
Tap på fordring 17175kr
</t>
        </r>
      </text>
    </comment>
    <comment ref="E22" authorId="0" shapeId="0" xr:uid="{1B02F626-D534-473C-992B-C98D82AE9FB9}">
      <text>
        <r>
          <rPr>
            <sz val="9"/>
            <rFont val="Geneva"/>
          </rPr>
          <t xml:space="preserve">Thomas Bjørge Elton Gundersen:
Trukket fra 5003.80.90000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Bjørge Elton Gundersen</author>
  </authors>
  <commentList>
    <comment ref="E51" authorId="0" shapeId="0" xr:uid="{73150987-8F78-46A3-A07B-829442518FBF}">
      <text>
        <r>
          <rPr>
            <sz val="9"/>
            <rFont val="Geneva"/>
          </rPr>
          <t xml:space="preserve">Thomas Bjørge Elton Gundersen:
260 fra 7430
</t>
        </r>
      </text>
    </comment>
    <comment ref="E52" authorId="0" shapeId="0" xr:uid="{AF617757-D611-46B0-82B6-6CE5F9EA3BA3}">
      <text>
        <r>
          <rPr>
            <sz val="9"/>
            <rFont val="Geneva"/>
          </rPr>
          <t>Thomas Bjørge Elton Gundersen:
5910+8155+7740</t>
        </r>
      </text>
    </comment>
    <comment ref="E61" authorId="0" shapeId="0" xr:uid="{5C17D58D-E305-4A3E-8445-7CAC7B70F0A3}">
      <text>
        <r>
          <rPr>
            <sz val="9"/>
            <rFont val="Geneva"/>
          </rPr>
          <t>Thomas Bjørge Elton Gundersen:
6840+6860+7140+7410</t>
        </r>
      </text>
    </comment>
    <comment ref="E62" authorId="0" shapeId="0" xr:uid="{C400DDD3-680A-4C97-9F42-2551C4E1D462}">
      <text>
        <r>
          <rPr>
            <sz val="9"/>
            <rFont val="Geneva"/>
          </rPr>
          <t>Thomas Bjørge Elton Gundersen:
7160+7791</t>
        </r>
      </text>
    </comment>
    <comment ref="E63" authorId="0" shapeId="0" xr:uid="{D7CE5A81-82E7-491B-8178-62B5994A08B9}">
      <text>
        <r>
          <rPr>
            <sz val="9"/>
            <rFont val="Geneva"/>
          </rPr>
          <t>Thomas Bjørge Elton Gundersen:
5990+6553+6800+7790</t>
        </r>
      </text>
    </comment>
    <comment ref="E64" authorId="0" shapeId="0" xr:uid="{3E83FE6E-76DA-4337-8DC5-87A9A9DC6EC2}">
      <text>
        <r>
          <rPr>
            <sz val="9"/>
            <rFont val="Geneva"/>
          </rPr>
          <t>Thomas Bjørge Elton Gundersen:
6300+7321</t>
        </r>
      </text>
    </comment>
    <comment ref="E65" authorId="0" shapeId="0" xr:uid="{D4387252-1E35-47F4-B89C-0CE70CEA2D75}">
      <text>
        <r>
          <rPr>
            <sz val="9"/>
            <rFont val="Geneva"/>
          </rPr>
          <t xml:space="preserve">Thomas Bjørge Elton Gundersen:
5210+5220+6841+6915+7500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Kristoffer Øksnes Arentsen</author>
  </authors>
  <commentList>
    <comment ref="E5" authorId="0" shapeId="0" xr:uid="{07930F5F-E858-418B-B208-EB216E13D39B}">
      <text>
        <r>
          <rPr>
            <sz val="9"/>
            <rFont val="Geneva"/>
          </rPr>
          <t>Kristoffer Øksnes Arentsen:
10686 kr til 96000.6040
Thomas:
6000+6015+6040</t>
        </r>
      </text>
    </comment>
    <comment ref="H5" authorId="0" shapeId="0" xr:uid="{5941130B-4DA0-4E9C-9298-4D6AB19D628F}">
      <text>
        <r>
          <rPr>
            <sz val="9"/>
            <rFont val="Geneva"/>
          </rPr>
          <t>Kristoffer Øksnes Arentsen:
10686 kr til 96000.6040
Thomas:
6000+6015+6040</t>
        </r>
      </text>
    </comment>
    <comment ref="E19" authorId="0" shapeId="0" xr:uid="{CF4C60E8-9FD5-4076-83F0-B4530F73F515}">
      <text>
        <r>
          <rPr>
            <b/>
            <sz val="9"/>
            <color indexed="81"/>
            <rFont val="Tahoma"/>
            <family val="2"/>
          </rPr>
          <t>Kristoffer Øksnes Arentsen:</t>
        </r>
        <r>
          <rPr>
            <sz val="9"/>
            <color indexed="81"/>
            <rFont val="Tahoma"/>
            <family val="2"/>
          </rPr>
          <t xml:space="preserve">
39,90 NOK fra 7140</t>
        </r>
      </text>
    </comment>
    <comment ref="G19" authorId="0" shapeId="0" xr:uid="{2C0678AB-387E-4DB1-86DA-0F6212A1F663}">
      <text>
        <r>
          <rPr>
            <b/>
            <sz val="9"/>
            <color indexed="81"/>
            <rFont val="Tahoma"/>
            <family val="2"/>
          </rPr>
          <t>Kristoffer Øksnes Arentsen:</t>
        </r>
        <r>
          <rPr>
            <sz val="9"/>
            <color indexed="81"/>
            <rFont val="Tahoma"/>
            <family val="2"/>
          </rPr>
          <t xml:space="preserve">
39,90 NOK fra 7140</t>
        </r>
      </text>
    </comment>
  </commentList>
</comments>
</file>

<file path=xl/sharedStrings.xml><?xml version="1.0" encoding="utf-8"?>
<sst xmlns="http://schemas.openxmlformats.org/spreadsheetml/2006/main" count="592" uniqueCount="376">
  <si>
    <t>Aktivitetssregnskap 2025 for Landsrådet for Norges barne- og ungdomsorganisasjoner</t>
  </si>
  <si>
    <t>AKTIVITETSREKNESKAP</t>
  </si>
  <si>
    <t>Inntekter</t>
  </si>
  <si>
    <t>Rekneskap 2024</t>
  </si>
  <si>
    <t>Regnskap 2025</t>
  </si>
  <si>
    <t>Budsjett 2025 rev. 2</t>
  </si>
  <si>
    <t>1 Medlemsinntekter</t>
  </si>
  <si>
    <t>2 Tilskot</t>
  </si>
  <si>
    <t>2.1</t>
  </si>
  <si>
    <t>Offentlege tilskot, drift</t>
  </si>
  <si>
    <t>2.2</t>
  </si>
  <si>
    <t>Offentlege tilskot, prosjekt</t>
  </si>
  <si>
    <t>2.3</t>
  </si>
  <si>
    <t>Offentlege tilskot, adm. støtteordningar</t>
  </si>
  <si>
    <t>2.4</t>
  </si>
  <si>
    <t>Andre tilskot</t>
  </si>
  <si>
    <t>3 Inntekter frå aktivitetar</t>
  </si>
  <si>
    <t>3.1</t>
  </si>
  <si>
    <t>Deltakaravgift</t>
  </si>
  <si>
    <t>3.2</t>
  </si>
  <si>
    <t>Honorar</t>
  </si>
  <si>
    <t>4 Finans og investeringsinntekter</t>
  </si>
  <si>
    <t>5 Andre inntekter</t>
  </si>
  <si>
    <t>Sum inntekter</t>
  </si>
  <si>
    <t>Utgifter</t>
  </si>
  <si>
    <t>Kostnadar til formålet</t>
  </si>
  <si>
    <t>6 Kompetanse</t>
  </si>
  <si>
    <t>6.1</t>
  </si>
  <si>
    <t>Kurs, kompetanse og rettleiing</t>
  </si>
  <si>
    <t>6.2</t>
  </si>
  <si>
    <t>Trygg!</t>
  </si>
  <si>
    <t>6.3</t>
  </si>
  <si>
    <t>Styrk</t>
  </si>
  <si>
    <t>6.4</t>
  </si>
  <si>
    <t>Robust</t>
  </si>
  <si>
    <t>6.5</t>
  </si>
  <si>
    <t>Berekraftprosjektet</t>
  </si>
  <si>
    <t>6.6</t>
  </si>
  <si>
    <t>Portal for lokale</t>
  </si>
  <si>
    <t>6.7</t>
  </si>
  <si>
    <t>Ungenetværk NORD</t>
  </si>
  <si>
    <t>6.8</t>
  </si>
  <si>
    <t>Forum for barnekonvensjonen</t>
  </si>
  <si>
    <t>7 Politikk</t>
  </si>
  <si>
    <t>7.1</t>
  </si>
  <si>
    <t>Interessepolitikk og påverknad</t>
  </si>
  <si>
    <t>7.2</t>
  </si>
  <si>
    <t>FN, Europa og Norden</t>
  </si>
  <si>
    <t>7.3</t>
  </si>
  <si>
    <t>Nettverk for berekraftig utvikling</t>
  </si>
  <si>
    <t>8 Forvaltning</t>
  </si>
  <si>
    <t>8.1</t>
  </si>
  <si>
    <t>Frifond adm.</t>
  </si>
  <si>
    <t>8.2</t>
  </si>
  <si>
    <t>Aktivitetsstøtta adm.</t>
  </si>
  <si>
    <t>8.3</t>
  </si>
  <si>
    <t>Kulturstøtta adm.</t>
  </si>
  <si>
    <t>8.4</t>
  </si>
  <si>
    <t>Mangfald- og inkluderingsstøtta adm.</t>
  </si>
  <si>
    <t>8.5</t>
  </si>
  <si>
    <t>Berekraftsstøtta adm.</t>
  </si>
  <si>
    <t>8.6</t>
  </si>
  <si>
    <t>Frifond 25</t>
  </si>
  <si>
    <t>8.7</t>
  </si>
  <si>
    <t>Forvaltningsutveksling</t>
  </si>
  <si>
    <t>9 Kommunikasjon</t>
  </si>
  <si>
    <t>9.1</t>
  </si>
  <si>
    <t>Kommunikasjonsarbeid</t>
  </si>
  <si>
    <t>9.2</t>
  </si>
  <si>
    <t>Valgkampanje</t>
  </si>
  <si>
    <t>Administrasjonskostnadar</t>
  </si>
  <si>
    <t>10 Administrasjon</t>
  </si>
  <si>
    <t>10.1</t>
  </si>
  <si>
    <t>Styrande organ / leiar</t>
  </si>
  <si>
    <t>10.2</t>
  </si>
  <si>
    <t>Ikkje-fordelbare administrative kostnadar</t>
  </si>
  <si>
    <t>Sum utgifter</t>
  </si>
  <si>
    <t>Aktivitetsresultat</t>
  </si>
  <si>
    <t>Tillegg/reduksjon formålskapital</t>
  </si>
  <si>
    <t>Eigenkapital</t>
  </si>
  <si>
    <t>Disp. av årsresultat 2024.</t>
  </si>
  <si>
    <t>Eigenkapital 01.01.2025</t>
  </si>
  <si>
    <t>Budsjettert disp. av årsresultat 2025</t>
  </si>
  <si>
    <t>Budsjettert 31.12.2025</t>
  </si>
  <si>
    <t>Reservefondet</t>
  </si>
  <si>
    <t>Kontorfondet</t>
  </si>
  <si>
    <t>Synker med 72 205 kr i året pga avskrivinger på oppussing i CK10.</t>
  </si>
  <si>
    <t>Avsetning søknadsportal</t>
  </si>
  <si>
    <t>Fri eigenkapital</t>
  </si>
  <si>
    <t>Sum eigenkapital</t>
  </si>
  <si>
    <t>Foreslått disp. av årsresultat 2025</t>
  </si>
  <si>
    <t>Foreslått 31.12.2025</t>
  </si>
  <si>
    <t>Konto/prosjekt</t>
  </si>
  <si>
    <t>1 MEDLEMSINNTEKTER</t>
  </si>
  <si>
    <t>Medlemskontingenter</t>
  </si>
  <si>
    <t>Sum</t>
  </si>
  <si>
    <t>2 TILSKOT</t>
  </si>
  <si>
    <t>2.1 OFFENTLEGE TILSKOT, DRIFT</t>
  </si>
  <si>
    <r>
      <t xml:space="preserve">Driftstilskot nasjonalt arbeid </t>
    </r>
    <r>
      <rPr>
        <i/>
        <sz val="11"/>
        <rFont val="Trebuchet MS"/>
        <family val="2"/>
      </rPr>
      <t>(Bufdir)</t>
    </r>
  </si>
  <si>
    <r>
      <t xml:space="preserve">Driftstilskot internasjonalt arbeid </t>
    </r>
    <r>
      <rPr>
        <i/>
        <sz val="11"/>
        <rFont val="Trebuchet MS"/>
        <family val="2"/>
      </rPr>
      <t>(Bufdir)</t>
    </r>
  </si>
  <si>
    <r>
      <t xml:space="preserve">Momskompensasjon </t>
    </r>
    <r>
      <rPr>
        <i/>
        <sz val="11"/>
        <rFont val="Trebuchet MS"/>
        <family val="2"/>
      </rPr>
      <t>(Lottstift)</t>
    </r>
  </si>
  <si>
    <t>2.2 OFFENTLEGE TILSKOT, PROSJEKT</t>
  </si>
  <si>
    <r>
      <t xml:space="preserve">Prosjektmidlar Trygg </t>
    </r>
    <r>
      <rPr>
        <i/>
        <sz val="11"/>
        <rFont val="Trebuchet MS"/>
        <family val="2"/>
      </rPr>
      <t>(Helsedir)</t>
    </r>
  </si>
  <si>
    <t>Prosjektmidlar Styrk (IMDi)</t>
  </si>
  <si>
    <t>Prosjektmidlar Styrk (Kulturtanken)</t>
  </si>
  <si>
    <t>Prosjektmidler Robust (UNESCO)</t>
  </si>
  <si>
    <r>
      <t xml:space="preserve">Prosjektmidlar Portal for lokale </t>
    </r>
    <r>
      <rPr>
        <i/>
        <sz val="11"/>
        <rFont val="Trebuchet MS"/>
        <family val="2"/>
      </rPr>
      <t>(Bufdir)</t>
    </r>
  </si>
  <si>
    <r>
      <t xml:space="preserve">Prosjektmidlar Berekraftprosjektet </t>
    </r>
    <r>
      <rPr>
        <i/>
        <sz val="11"/>
        <rFont val="Trebuchet MS"/>
        <family val="2"/>
      </rPr>
      <t>(Norad)</t>
    </r>
  </si>
  <si>
    <r>
      <t xml:space="preserve">Reisestøtte ungdomsdelegatar </t>
    </r>
    <r>
      <rPr>
        <i/>
        <sz val="11"/>
        <rFont val="Trebuchet MS"/>
        <family val="2"/>
      </rPr>
      <t>(flere)</t>
    </r>
  </si>
  <si>
    <t>2.3 OFFENTLEGE TILSKOT, ADM. STØTTEORDNINGAR</t>
  </si>
  <si>
    <r>
      <t xml:space="preserve">Adm.tilskot Frifond </t>
    </r>
    <r>
      <rPr>
        <i/>
        <sz val="11"/>
        <rFont val="Trebuchet MS"/>
        <family val="2"/>
      </rPr>
      <t>(KUD)</t>
    </r>
  </si>
  <si>
    <t>30200</t>
  </si>
  <si>
    <r>
      <t xml:space="preserve">Adm.tilskot Mangfald- og inkluderingsstøtta </t>
    </r>
    <r>
      <rPr>
        <i/>
        <sz val="11"/>
        <rFont val="Trebuchet MS"/>
        <family val="2"/>
      </rPr>
      <t>(BLD)</t>
    </r>
  </si>
  <si>
    <r>
      <t xml:space="preserve">Adm.tilskot Kulturstøtta </t>
    </r>
    <r>
      <rPr>
        <i/>
        <sz val="11"/>
        <rFont val="Trebuchet MS"/>
        <family val="2"/>
      </rPr>
      <t>(KUD)</t>
    </r>
  </si>
  <si>
    <r>
      <t xml:space="preserve">Adm.tilskot Aktivitetsstøtta </t>
    </r>
    <r>
      <rPr>
        <i/>
        <sz val="11"/>
        <rFont val="Trebuchet MS"/>
        <family val="2"/>
      </rPr>
      <t>(KUD)</t>
    </r>
  </si>
  <si>
    <t>30500</t>
  </si>
  <si>
    <r>
      <t xml:space="preserve">Adm.tilskot Berekraftsstøtta </t>
    </r>
    <r>
      <rPr>
        <i/>
        <sz val="11"/>
        <rFont val="Trebuchet MS"/>
        <family val="2"/>
      </rPr>
      <t>(Norad)</t>
    </r>
  </si>
  <si>
    <t>2.4 ANDRE TILSKOT</t>
  </si>
  <si>
    <t>Prosjektmidlar Leiarnettverk Styrk (Gjensidigestiftelsen)</t>
  </si>
  <si>
    <t>Prosjektmidler Robust (Sparebankstiftelsen DNB)</t>
  </si>
  <si>
    <t>Prosjektmidlar Forum for barnekonvensjonen (Redd Barna)</t>
  </si>
  <si>
    <t>Prosjektmidler Ungenetværk NORD</t>
  </si>
  <si>
    <t>Nordisk ungdomsdelegat nettverk (NMR)</t>
  </si>
  <si>
    <t>Prosjektmidlar Ungdomsnettverk for berekraftig utvikling (NMR)</t>
  </si>
  <si>
    <t>Prosjektmidlar Forvaltningsutveksling (NMR)</t>
  </si>
  <si>
    <t>Prosjektmidlar Frifond 25 (omdisp. Frifond-midler)</t>
  </si>
  <si>
    <t>Prosjektmidlar Valgkampanje</t>
  </si>
  <si>
    <t>3 INNTEKTER FRÅ AKTIVITETAR</t>
  </si>
  <si>
    <t>3.1 DELTAKARAVGIFT</t>
  </si>
  <si>
    <t>Deltakaravgift LNU-kurs</t>
  </si>
  <si>
    <t>Deltakaravgift nettverk</t>
  </si>
  <si>
    <t>3.2 HONORARER</t>
  </si>
  <si>
    <t>Honorar Lån en LNUer</t>
  </si>
  <si>
    <t>4 FINANS OG INVESTERINGSINNTEKTER</t>
  </si>
  <si>
    <t>Renteinntekter bank</t>
  </si>
  <si>
    <t>Renteinntekter PLUSS Kort Likviditet (Fondsforvaltning)</t>
  </si>
  <si>
    <t>Renteinntekter PLUSS Rente (Fondsforvaltning)</t>
  </si>
  <si>
    <t>Andre finansinntekter</t>
  </si>
  <si>
    <t>Utbytte</t>
  </si>
  <si>
    <t>5 ANDRE INNTEKTER</t>
  </si>
  <si>
    <t>19000</t>
  </si>
  <si>
    <t>Andre inntekter</t>
  </si>
  <si>
    <t>x</t>
  </si>
  <si>
    <t>KURS, KOMPETANSE OG RETTLEIING</t>
  </si>
  <si>
    <t>INNTEKTER</t>
  </si>
  <si>
    <t>3600.20200</t>
  </si>
  <si>
    <t>Deltakeravgift LNU-kurs</t>
  </si>
  <si>
    <t>3120.20300</t>
  </si>
  <si>
    <t>Honorar Lån ein LNUar</t>
  </si>
  <si>
    <t>3600.20400</t>
  </si>
  <si>
    <t>Deltakeravgift nettverk</t>
  </si>
  <si>
    <t>UTGIFTER</t>
  </si>
  <si>
    <t>LNU-kurs</t>
  </si>
  <si>
    <t>Lån ein LNUar</t>
  </si>
  <si>
    <t>Nettverk</t>
  </si>
  <si>
    <t>Lønns- og personalkostnadar</t>
  </si>
  <si>
    <t>Fordelte felleskostnadar</t>
  </si>
  <si>
    <t>TRYGG!</t>
  </si>
  <si>
    <r>
      <t xml:space="preserve">Prosjekttilskot </t>
    </r>
    <r>
      <rPr>
        <i/>
        <sz val="11"/>
        <rFont val="Trebuchet MS"/>
        <family val="2"/>
      </rPr>
      <t>(Helsedir)</t>
    </r>
  </si>
  <si>
    <t>Restmidlar frå fjoråret</t>
  </si>
  <si>
    <t>Ubrukte midlar overført til neste år</t>
  </si>
  <si>
    <t>Deltageravgift</t>
  </si>
  <si>
    <t>Generelle prosjektkostnadar</t>
  </si>
  <si>
    <t>STYRK</t>
  </si>
  <si>
    <t>Prosjekttilskot (IMDi)</t>
  </si>
  <si>
    <t>Prosjkttilskot mentorprogram (IMDi)</t>
  </si>
  <si>
    <t>Prosjekttilskot (Kulturtanken)</t>
  </si>
  <si>
    <t>Tilskot leiarnettverk (Gjensidigestiftelsen)</t>
  </si>
  <si>
    <t>Leiarnettverk</t>
  </si>
  <si>
    <t>Tilskudd til deltgaende organisasjoner</t>
  </si>
  <si>
    <t>ROBUST</t>
  </si>
  <si>
    <r>
      <t xml:space="preserve">Prosjekttilskot </t>
    </r>
    <r>
      <rPr>
        <i/>
        <sz val="11"/>
        <rFont val="Trebuchet MS"/>
        <family val="2"/>
      </rPr>
      <t>(Sparebankstiftelsen DNB)</t>
    </r>
  </si>
  <si>
    <t>Prosjekttilskot (UNESCO)</t>
  </si>
  <si>
    <t>BEREKRAFTPROSJEKTET</t>
  </si>
  <si>
    <t>Prosjekttilskot (Norad)</t>
  </si>
  <si>
    <t>Administrasjon av prosjekt</t>
  </si>
  <si>
    <t>Kompetansearbeid</t>
  </si>
  <si>
    <t>Ungdomsmedverknad</t>
  </si>
  <si>
    <t>Tverrgåande aktivitetar</t>
  </si>
  <si>
    <t>PORTAL FOR LOKALE</t>
  </si>
  <si>
    <t>Prosjekttilskot (Bufdir)</t>
  </si>
  <si>
    <t>Vidareutvikling portal for lokale</t>
  </si>
  <si>
    <t>UNGENETVÆRK NORD</t>
  </si>
  <si>
    <t>Nytt prosjekt 2025</t>
  </si>
  <si>
    <t>Prosjekttilskot</t>
  </si>
  <si>
    <t>Flybiletter til ungetinget for styret ligger her</t>
  </si>
  <si>
    <t>FORUM FOR BARNEKONVENSJONEN</t>
  </si>
  <si>
    <t>Prosjekt avslutta 2024.</t>
  </si>
  <si>
    <r>
      <t xml:space="preserve">Prosjekttilskot </t>
    </r>
    <r>
      <rPr>
        <i/>
        <sz val="11"/>
        <rFont val="Trebuchet MS"/>
        <family val="2"/>
      </rPr>
      <t>(Redd Barna)</t>
    </r>
  </si>
  <si>
    <t>Generelle prosjektkostnadar og lønnskostnadar Press</t>
  </si>
  <si>
    <t>Generelle prosjektkostnadar LNU</t>
  </si>
  <si>
    <t>Kontrollsum lønn</t>
  </si>
  <si>
    <t>Kontrollsum felleskost</t>
  </si>
  <si>
    <t>INTERESSEPOLITIKK OG PÅVERKNAD</t>
  </si>
  <si>
    <t>Interessepolitisk arbeid nasjonalt</t>
  </si>
  <si>
    <t>FN, EUROPA OG NORDEN</t>
  </si>
  <si>
    <t>3400.48000</t>
  </si>
  <si>
    <r>
      <t xml:space="preserve">Ungdomsdelegat menneskerettar </t>
    </r>
    <r>
      <rPr>
        <i/>
        <sz val="11"/>
        <rFont val="Trebuchet MS"/>
        <family val="2"/>
      </rPr>
      <t>(UD)</t>
    </r>
  </si>
  <si>
    <t>Ungdomsdeletat berekraftig utvikling (UD)</t>
  </si>
  <si>
    <r>
      <t xml:space="preserve">Ungdomsdeletat global helse </t>
    </r>
    <r>
      <rPr>
        <i/>
        <sz val="11"/>
        <rFont val="Trebuchet MS"/>
        <family val="2"/>
      </rPr>
      <t>(HOD)</t>
    </r>
  </si>
  <si>
    <r>
      <t xml:space="preserve">Ungdomsdelegat klima </t>
    </r>
    <r>
      <rPr>
        <i/>
        <sz val="11"/>
        <rFont val="Trebuchet MS"/>
        <family val="2"/>
      </rPr>
      <t>(KLD)</t>
    </r>
  </si>
  <si>
    <r>
      <t xml:space="preserve">Ungdomsdelegat biologisk mangfald </t>
    </r>
    <r>
      <rPr>
        <i/>
        <sz val="11"/>
        <rFont val="Trebuchet MS"/>
        <family val="2"/>
      </rPr>
      <t>(KLD)</t>
    </r>
  </si>
  <si>
    <t>Ungdomsdelegat UNDRR (DU)</t>
  </si>
  <si>
    <r>
      <t xml:space="preserve">Ungdomsdelegat likestilling </t>
    </r>
    <r>
      <rPr>
        <i/>
        <sz val="11"/>
        <rFont val="Trebuchet MS"/>
        <family val="2"/>
      </rPr>
      <t>(KUD)</t>
    </r>
  </si>
  <si>
    <t>3400.47000</t>
  </si>
  <si>
    <t>Nordisk nettverk for ungdomsdelegater (NMR)</t>
  </si>
  <si>
    <t>Norden, Europa, YFJ</t>
  </si>
  <si>
    <t>FN-arbeid og ungdomsdelegatar</t>
  </si>
  <si>
    <t>UNGDOMSNETTVERK FOR BEREKRAFTIG UTVIKLING</t>
  </si>
  <si>
    <r>
      <t xml:space="preserve">Prosjekttilskot </t>
    </r>
    <r>
      <rPr>
        <i/>
        <sz val="11"/>
        <rFont val="Trebuchet MS"/>
        <family val="2"/>
      </rPr>
      <t>(Nordisk ministerråd)</t>
    </r>
  </si>
  <si>
    <t>Restmidlar fra fjoråret</t>
  </si>
  <si>
    <t>Ubrukte midlear overført til neste år</t>
  </si>
  <si>
    <t>Valutatap</t>
  </si>
  <si>
    <t>Kontroll lønnskost</t>
  </si>
  <si>
    <t>FRIFOND ADM.</t>
  </si>
  <si>
    <t>Adm.tilskot Frifond (KUD)</t>
  </si>
  <si>
    <t>Restmidlar frå støttordning til trekking av inkasso-saker</t>
  </si>
  <si>
    <t>Generelt (infoarbeid, møte, revisjon m.m.)</t>
  </si>
  <si>
    <t>Søknadsportal (andel)</t>
  </si>
  <si>
    <t>AKTIVITETSSTØTTA ADM.</t>
  </si>
  <si>
    <t>Adm.tilskot Aktivitetsstøtta (KUD)</t>
  </si>
  <si>
    <t>KULTURSTØTTA ADM.</t>
  </si>
  <si>
    <t>Adm.tilskot Kulturstøtta (KUD)</t>
  </si>
  <si>
    <t>Ubrukte midlar flyttet til utdeling</t>
  </si>
  <si>
    <t>MANGFALD- OG INKLUDERINGSSTØTTA ADM.</t>
  </si>
  <si>
    <t>Adm.tilskot Mangfald- og inkluderingsstøtta (BLD)</t>
  </si>
  <si>
    <t>RESULTAT</t>
  </si>
  <si>
    <t>BEREKRAFTSTØTTA ADM.</t>
  </si>
  <si>
    <t>Adm.tilskot Berekraftstøtta (Norad)</t>
  </si>
  <si>
    <t>FORVALTNINGSUTVEKSLING</t>
  </si>
  <si>
    <t>Prosjektet avsluttet 2024</t>
  </si>
  <si>
    <t>Adm.tilskot Forvaltningsutveksling (NMR)</t>
  </si>
  <si>
    <t>Generelt</t>
  </si>
  <si>
    <t>Nytt prosjekt</t>
  </si>
  <si>
    <t>Restmidler fra støtteordning til bruk</t>
  </si>
  <si>
    <t>Prosjekttilskudd Norsk musikkråd</t>
  </si>
  <si>
    <t>Fordelingsnøkkel - felleskostnadar støtteordningane*</t>
  </si>
  <si>
    <t>Søknadsportal</t>
  </si>
  <si>
    <t>*I rekneskap 2023 er dette fordelt etter tal søknadar i støtteordningane. I 2024 er det fordelt etter tal årsverk per støtteordning.</t>
  </si>
  <si>
    <t>KOMMUNIKASJON</t>
  </si>
  <si>
    <t>Medieovervaking</t>
  </si>
  <si>
    <t>X</t>
  </si>
  <si>
    <t>Nettsider</t>
  </si>
  <si>
    <t>Informasjonsarbeid</t>
  </si>
  <si>
    <t>15 000 kr over 3 år (60 000 kr) til investering i utstyr. 35 000 kr til generelt informasjonsarbeid.</t>
  </si>
  <si>
    <t>LNU-arrangementer</t>
  </si>
  <si>
    <t>Julegraut, feiringer av gjennomslag, markeringer m.m.</t>
  </si>
  <si>
    <t>XXXX</t>
  </si>
  <si>
    <t>VALGKAMPANJE</t>
  </si>
  <si>
    <t>Prosjekttilskot Valgdirektoratet</t>
  </si>
  <si>
    <t>STYRANDE ORGAN / LEIAR</t>
  </si>
  <si>
    <t>Barne- og ungdomstinget</t>
  </si>
  <si>
    <t>Styrearbeid</t>
  </si>
  <si>
    <t>Telefon/avis leiar</t>
  </si>
  <si>
    <t>Frikjøp leiar og AU-honorar</t>
  </si>
  <si>
    <t>Inkl AGA, feriepenger m.m.</t>
  </si>
  <si>
    <t>AU-honorar</t>
  </si>
  <si>
    <t>Slått sammen med styreleder</t>
  </si>
  <si>
    <t>IKKJE-FORDELBARE ADMINISTRATIVE KOSTNADAR</t>
  </si>
  <si>
    <t>Personalmøte</t>
  </si>
  <si>
    <t>2 000 kr per ansatt (20) til avdelingsmøter + 10 000 kr til ledelsen + 100 000 kr til personaltur + 10 000 kr til diverse</t>
  </si>
  <si>
    <t>Sosialt</t>
  </si>
  <si>
    <t>10 000 kr til sosial dag x2 + 45 000 kr til julebord + sommeravslutning + 10 000 kr til diverse (avslutninger m.m.)</t>
  </si>
  <si>
    <t>Konferanse, reise og representasjon</t>
  </si>
  <si>
    <t>Bankkostnadar og fakturagebyr</t>
  </si>
  <si>
    <t>Fri telefon/avis/anna generalsekretær/leiinga</t>
  </si>
  <si>
    <t>Avskrivingar investering ny søknadsportal</t>
  </si>
  <si>
    <t>Lønns- og personalkostnader</t>
  </si>
  <si>
    <t>Kompetanse</t>
  </si>
  <si>
    <t>Fordeling på budsjettposter</t>
  </si>
  <si>
    <t>Budsjetterte årsverk 2025</t>
  </si>
  <si>
    <t>Lønn faste tilsette</t>
  </si>
  <si>
    <t>6.1 Kurs, kompetanse og veiledning</t>
  </si>
  <si>
    <r>
      <t xml:space="preserve">Ingrid/Benedicte </t>
    </r>
    <r>
      <rPr>
        <b/>
        <sz val="10"/>
        <color theme="1"/>
        <rFont val="Trebuchet MS"/>
        <family val="2"/>
      </rPr>
      <t>(0,755)</t>
    </r>
    <r>
      <rPr>
        <sz val="10"/>
        <color theme="1"/>
        <rFont val="Trebuchet MS"/>
        <family val="2"/>
      </rPr>
      <t xml:space="preserve"> Karoline/Anna </t>
    </r>
    <r>
      <rPr>
        <b/>
        <sz val="10"/>
        <color theme="1"/>
        <rFont val="Trebuchet MS"/>
        <family val="2"/>
      </rPr>
      <t xml:space="preserve">(0,35) </t>
    </r>
    <r>
      <rPr>
        <sz val="10"/>
        <color theme="1"/>
        <rFont val="Trebuchet MS"/>
        <family val="2"/>
      </rPr>
      <t>Anna</t>
    </r>
    <r>
      <rPr>
        <b/>
        <sz val="10"/>
        <color theme="1"/>
        <rFont val="Trebuchet MS"/>
        <family val="2"/>
      </rPr>
      <t xml:space="preserve"> (0,14)</t>
    </r>
    <r>
      <rPr>
        <sz val="10"/>
        <color theme="1"/>
        <rFont val="Trebuchet MS"/>
        <family val="2"/>
      </rPr>
      <t xml:space="preserve"> Benjamin fordelt </t>
    </r>
    <r>
      <rPr>
        <b/>
        <sz val="10"/>
        <color theme="1"/>
        <rFont val="Trebuchet MS"/>
        <family val="2"/>
      </rPr>
      <t>(0,60)</t>
    </r>
  </si>
  <si>
    <t>Påkomne feriepengar</t>
  </si>
  <si>
    <t>6.2 Trygg!</t>
  </si>
  <si>
    <r>
      <t xml:space="preserve">Karoline/Anna </t>
    </r>
    <r>
      <rPr>
        <b/>
        <sz val="10"/>
        <color rgb="FF000000"/>
        <rFont val="Trebuchet MS"/>
        <family val="2"/>
      </rPr>
      <t>(0,65)</t>
    </r>
    <r>
      <rPr>
        <sz val="10"/>
        <color rgb="FF000000"/>
        <rFont val="Trebuchet MS"/>
        <family val="2"/>
      </rPr>
      <t xml:space="preserve"> Benjamin fordelt </t>
    </r>
    <r>
      <rPr>
        <b/>
        <sz val="10"/>
        <color rgb="FF000000"/>
        <rFont val="Trebuchet MS"/>
        <family val="2"/>
      </rPr>
      <t>(0,05)</t>
    </r>
    <r>
      <rPr>
        <sz val="10"/>
        <color rgb="FF000000"/>
        <rFont val="Trebuchet MS"/>
        <family val="2"/>
      </rPr>
      <t xml:space="preserve"> </t>
    </r>
  </si>
  <si>
    <t>5400+5401</t>
  </si>
  <si>
    <t>Arbeidsgjevaravgift</t>
  </si>
  <si>
    <t>6.3 Styrk</t>
  </si>
  <si>
    <r>
      <t xml:space="preserve">Harvir </t>
    </r>
    <r>
      <rPr>
        <b/>
        <sz val="10"/>
        <color rgb="FF000000"/>
        <rFont val="Trebuchet MS"/>
        <family val="2"/>
      </rPr>
      <t>(0,6)</t>
    </r>
    <r>
      <rPr>
        <sz val="10"/>
        <color rgb="FF000000"/>
        <rFont val="Trebuchet MS"/>
        <family val="2"/>
      </rPr>
      <t xml:space="preserve"> Benjamin fordelt </t>
    </r>
    <r>
      <rPr>
        <b/>
        <sz val="10"/>
        <color rgb="FF000000"/>
        <rFont val="Trebuchet MS"/>
        <family val="2"/>
      </rPr>
      <t>(0,05)</t>
    </r>
  </si>
  <si>
    <t>58XX</t>
  </si>
  <si>
    <t>Refusjon sjuke-/foreldrepengar</t>
  </si>
  <si>
    <t>6.4 Forprosjekt hat og hets</t>
  </si>
  <si>
    <r>
      <t xml:space="preserve">Dinah </t>
    </r>
    <r>
      <rPr>
        <b/>
        <sz val="10"/>
        <color theme="1"/>
        <rFont val="Trebuchet MS"/>
        <family val="2"/>
      </rPr>
      <t>(0,2), UKJENT(0,29)</t>
    </r>
    <r>
      <rPr>
        <sz val="10"/>
        <color theme="1"/>
        <rFont val="Trebuchet MS"/>
        <family val="2"/>
      </rPr>
      <t xml:space="preserve"> Benjamin fordelt </t>
    </r>
    <r>
      <rPr>
        <b/>
        <sz val="10"/>
        <color theme="1"/>
        <rFont val="Trebuchet MS"/>
        <family val="2"/>
      </rPr>
      <t>(0,08)</t>
    </r>
  </si>
  <si>
    <t>Andre personalkostnadar (andel)</t>
  </si>
  <si>
    <t>6.5 Bærekraftsmålene</t>
  </si>
  <si>
    <r>
      <t xml:space="preserve">Ingrid/Benedicte </t>
    </r>
    <r>
      <rPr>
        <b/>
        <sz val="10"/>
        <color theme="1"/>
        <rFont val="Trebuchet MS"/>
        <family val="2"/>
      </rPr>
      <t>(0,3)</t>
    </r>
    <r>
      <rPr>
        <sz val="10"/>
        <color theme="1"/>
        <rFont val="Trebuchet MS"/>
        <family val="2"/>
      </rPr>
      <t xml:space="preserve"> Benjamin fordelt </t>
    </r>
    <r>
      <rPr>
        <b/>
        <sz val="10"/>
        <color theme="1"/>
        <rFont val="Trebuchet MS"/>
        <family val="2"/>
      </rPr>
      <t>(0,02)</t>
    </r>
  </si>
  <si>
    <t>6.6 Tilgang til lokaler</t>
  </si>
  <si>
    <r>
      <t xml:space="preserve">Benjamin </t>
    </r>
    <r>
      <rPr>
        <b/>
        <sz val="10"/>
        <color theme="1"/>
        <rFont val="Trebuchet MS"/>
        <family val="2"/>
      </rPr>
      <t>(0,05)</t>
    </r>
  </si>
  <si>
    <t>6.7 Ungenetværk NORD</t>
  </si>
  <si>
    <r>
      <t>Ingrid/Benedicte</t>
    </r>
    <r>
      <rPr>
        <b/>
        <sz val="10"/>
        <color theme="1"/>
        <rFont val="Trebuchet MS"/>
        <family val="2"/>
      </rPr>
      <t xml:space="preserve"> (0,025)</t>
    </r>
  </si>
  <si>
    <t>Kontroll mot lønnsbudsjett</t>
  </si>
  <si>
    <t>Politikk</t>
  </si>
  <si>
    <t>7.1 Interessepolitikk og påvirkning</t>
  </si>
  <si>
    <r>
      <t xml:space="preserve">Simon/Ingrid </t>
    </r>
    <r>
      <rPr>
        <b/>
        <sz val="10"/>
        <color theme="1"/>
        <rFont val="Trebuchet MS"/>
        <family val="2"/>
      </rPr>
      <t xml:space="preserve">(0,92) </t>
    </r>
    <r>
      <rPr>
        <sz val="10"/>
        <color theme="1"/>
        <rFont val="Trebuchet MS"/>
        <family val="2"/>
      </rPr>
      <t>Synne fordelt</t>
    </r>
    <r>
      <rPr>
        <b/>
        <sz val="10"/>
        <color theme="1"/>
        <rFont val="Trebuchet MS"/>
        <family val="2"/>
      </rPr>
      <t xml:space="preserve"> (0,25)</t>
    </r>
  </si>
  <si>
    <t>7.2 FN, Europa og Norden</t>
  </si>
  <si>
    <r>
      <t xml:space="preserve">Silje/Wilde </t>
    </r>
    <r>
      <rPr>
        <b/>
        <sz val="10"/>
        <color theme="1"/>
        <rFont val="Trebuchet MS"/>
        <family val="2"/>
      </rPr>
      <t xml:space="preserve">(0,83) </t>
    </r>
    <r>
      <rPr>
        <sz val="10"/>
        <color theme="1"/>
        <rFont val="Trebuchet MS"/>
        <family val="2"/>
      </rPr>
      <t xml:space="preserve">Synne fordelt </t>
    </r>
    <r>
      <rPr>
        <b/>
        <sz val="10"/>
        <color theme="1"/>
        <rFont val="Trebuchet MS"/>
        <family val="2"/>
      </rPr>
      <t>(0,25)</t>
    </r>
  </si>
  <si>
    <t>7.3 Ungdomsnettverk for bærekraftig utvikling</t>
  </si>
  <si>
    <t>5800+5803</t>
  </si>
  <si>
    <t>Refusjon av sjuke-/foreldrepengar</t>
  </si>
  <si>
    <t>Forvaltning</t>
  </si>
  <si>
    <t>5001+5020</t>
  </si>
  <si>
    <t>8.1 Frifond adm.</t>
  </si>
  <si>
    <r>
      <t>Frifond-teamet</t>
    </r>
    <r>
      <rPr>
        <b/>
        <sz val="10"/>
        <color theme="1"/>
        <rFont val="Trebuchet MS"/>
        <family val="2"/>
      </rPr>
      <t xml:space="preserve"> (4,26) C</t>
    </r>
    <r>
      <rPr>
        <sz val="10"/>
        <color theme="1"/>
        <rFont val="Trebuchet MS"/>
        <family val="2"/>
      </rPr>
      <t xml:space="preserve">hristian fordelt </t>
    </r>
    <r>
      <rPr>
        <b/>
        <sz val="10"/>
        <color theme="1"/>
        <rFont val="Trebuchet MS"/>
        <family val="2"/>
      </rPr>
      <t>(0,66)</t>
    </r>
  </si>
  <si>
    <t>8.2 Aktivitetsstøtta adm.</t>
  </si>
  <si>
    <r>
      <t xml:space="preserve">Cennet </t>
    </r>
    <r>
      <rPr>
        <b/>
        <sz val="10"/>
        <color theme="1"/>
        <rFont val="Trebuchet MS"/>
        <family val="2"/>
      </rPr>
      <t>(0,6)</t>
    </r>
    <r>
      <rPr>
        <sz val="10"/>
        <color theme="1"/>
        <rFont val="Trebuchet MS"/>
        <family val="2"/>
      </rPr>
      <t xml:space="preserve"> Christian fordelt </t>
    </r>
    <r>
      <rPr>
        <b/>
        <sz val="10"/>
        <color theme="1"/>
        <rFont val="Trebuchet MS"/>
        <family val="2"/>
      </rPr>
      <t>(0,09)</t>
    </r>
  </si>
  <si>
    <t>8.3 Kulturstøtta adm.</t>
  </si>
  <si>
    <r>
      <t xml:space="preserve">Cennet </t>
    </r>
    <r>
      <rPr>
        <b/>
        <sz val="10"/>
        <color theme="1"/>
        <rFont val="Trebuchet MS"/>
        <family val="2"/>
      </rPr>
      <t>(0,4)</t>
    </r>
    <r>
      <rPr>
        <sz val="10"/>
        <color theme="1"/>
        <rFont val="Trebuchet MS"/>
        <family val="2"/>
      </rPr>
      <t xml:space="preserve"> Christian fordelt </t>
    </r>
    <r>
      <rPr>
        <b/>
        <sz val="10"/>
        <color theme="1"/>
        <rFont val="Trebuchet MS"/>
        <family val="2"/>
      </rPr>
      <t>(0,06)</t>
    </r>
  </si>
  <si>
    <t>8.4 Mangfold- og inkluderingsstøtta adm.</t>
  </si>
  <si>
    <r>
      <t xml:space="preserve">Kirsten </t>
    </r>
    <r>
      <rPr>
        <b/>
        <sz val="10"/>
        <color theme="1"/>
        <rFont val="Trebuchet MS"/>
        <family val="2"/>
      </rPr>
      <t>(0,6)</t>
    </r>
    <r>
      <rPr>
        <sz val="10"/>
        <color theme="1"/>
        <rFont val="Trebuchet MS"/>
        <family val="2"/>
      </rPr>
      <t xml:space="preserve"> Christian fordelt </t>
    </r>
    <r>
      <rPr>
        <b/>
        <sz val="10"/>
        <color theme="1"/>
        <rFont val="Trebuchet MS"/>
        <family val="2"/>
      </rPr>
      <t>(0,09)</t>
    </r>
  </si>
  <si>
    <t>8.5 Bærekraftsstøtta adm.</t>
  </si>
  <si>
    <r>
      <t xml:space="preserve">Kirsten </t>
    </r>
    <r>
      <rPr>
        <b/>
        <sz val="10"/>
        <color theme="1"/>
        <rFont val="Trebuchet MS"/>
        <family val="2"/>
      </rPr>
      <t>(0,4)</t>
    </r>
    <r>
      <rPr>
        <sz val="10"/>
        <color theme="1"/>
        <rFont val="Trebuchet MS"/>
        <family val="2"/>
      </rPr>
      <t xml:space="preserve"> Christian fordelt </t>
    </r>
    <r>
      <rPr>
        <b/>
        <sz val="10"/>
        <color theme="1"/>
        <rFont val="Trebuchet MS"/>
        <family val="2"/>
      </rPr>
      <t>(0,06)</t>
    </r>
  </si>
  <si>
    <t>8.6 Frifond 25</t>
  </si>
  <si>
    <r>
      <t xml:space="preserve">Synnøve </t>
    </r>
    <r>
      <rPr>
        <b/>
        <sz val="10"/>
        <color theme="1"/>
        <rFont val="Trebuchet MS"/>
        <family val="2"/>
      </rPr>
      <t>(0,2)</t>
    </r>
    <r>
      <rPr>
        <sz val="10"/>
        <color theme="1"/>
        <rFont val="Trebuchet MS"/>
        <family val="2"/>
      </rPr>
      <t xml:space="preserve"> Christian fordelt </t>
    </r>
    <r>
      <rPr>
        <b/>
        <sz val="10"/>
        <color theme="1"/>
        <rFont val="Trebuchet MS"/>
        <family val="2"/>
      </rPr>
      <t>(0,04)</t>
    </r>
  </si>
  <si>
    <t>8.7 Forvaltningsutveksling</t>
  </si>
  <si>
    <t>Kommunikasjon</t>
  </si>
  <si>
    <t>9.1 Kommunikasjonsarbeid</t>
  </si>
  <si>
    <r>
      <t xml:space="preserve">Hilde </t>
    </r>
    <r>
      <rPr>
        <b/>
        <sz val="10"/>
        <color theme="1"/>
        <rFont val="Trebuchet MS"/>
        <family val="2"/>
      </rPr>
      <t xml:space="preserve">(1) </t>
    </r>
    <r>
      <rPr>
        <sz val="10"/>
        <color theme="1"/>
        <rFont val="Trebuchet MS"/>
        <family val="2"/>
      </rPr>
      <t xml:space="preserve">Kristin/Regine </t>
    </r>
    <r>
      <rPr>
        <b/>
        <sz val="10"/>
        <color theme="1"/>
        <rFont val="Trebuchet MS"/>
        <family val="2"/>
      </rPr>
      <t>(1,08) E</t>
    </r>
    <r>
      <rPr>
        <sz val="10"/>
        <color theme="1"/>
        <rFont val="Trebuchet MS"/>
        <family val="2"/>
      </rPr>
      <t>lise</t>
    </r>
    <r>
      <rPr>
        <b/>
        <sz val="10"/>
        <color theme="1"/>
        <rFont val="Trebuchet MS"/>
        <family val="2"/>
      </rPr>
      <t xml:space="preserve"> (0,15) </t>
    </r>
    <r>
      <rPr>
        <sz val="10"/>
        <color theme="1"/>
        <rFont val="Trebuchet MS"/>
        <family val="2"/>
      </rPr>
      <t>Synne</t>
    </r>
    <r>
      <rPr>
        <b/>
        <sz val="10"/>
        <color theme="1"/>
        <rFont val="Trebuchet MS"/>
        <family val="2"/>
      </rPr>
      <t xml:space="preserve"> (0,5)</t>
    </r>
  </si>
  <si>
    <t>9.2 Valgkampanje</t>
  </si>
  <si>
    <t>Administrasjon</t>
  </si>
  <si>
    <t>10.1 Styrende organer / leder</t>
  </si>
  <si>
    <t>10.2 Ikke fordelbare administrative kostnader</t>
  </si>
  <si>
    <r>
      <t xml:space="preserve">Ragnhild </t>
    </r>
    <r>
      <rPr>
        <b/>
        <sz val="10"/>
        <color theme="1"/>
        <rFont val="Trebuchet MS"/>
        <family val="2"/>
      </rPr>
      <t>(1,0)</t>
    </r>
    <r>
      <rPr>
        <sz val="10"/>
        <color theme="1"/>
        <rFont val="Trebuchet MS"/>
        <family val="2"/>
      </rPr>
      <t xml:space="preserve"> Kristoffer </t>
    </r>
    <r>
      <rPr>
        <b/>
        <sz val="10"/>
        <color theme="1"/>
        <rFont val="Trebuchet MS"/>
        <family val="2"/>
      </rPr>
      <t>(1,0)</t>
    </r>
    <r>
      <rPr>
        <sz val="10"/>
        <color theme="1"/>
        <rFont val="Trebuchet MS"/>
        <family val="2"/>
      </rPr>
      <t xml:space="preserve"> Vilde </t>
    </r>
    <r>
      <rPr>
        <b/>
        <sz val="10"/>
        <color theme="1"/>
        <rFont val="Trebuchet MS"/>
        <family val="2"/>
      </rPr>
      <t xml:space="preserve">(0,75) </t>
    </r>
    <r>
      <rPr>
        <sz val="10"/>
        <color theme="1"/>
        <rFont val="Trebuchet MS"/>
        <family val="2"/>
      </rPr>
      <t>Thomas</t>
    </r>
    <r>
      <rPr>
        <b/>
        <sz val="10"/>
        <color theme="1"/>
        <rFont val="Trebuchet MS"/>
        <family val="2"/>
      </rPr>
      <t xml:space="preserve"> (0,3) UKJENT (0,07)</t>
    </r>
  </si>
  <si>
    <t>Totalt antall årsverk:</t>
  </si>
  <si>
    <t>Kontroll mot budsjettposter OK</t>
  </si>
  <si>
    <t>Andre personalkostnadar</t>
  </si>
  <si>
    <t>Gåve til tilsette</t>
  </si>
  <si>
    <t>Kantinekostnad</t>
  </si>
  <si>
    <t>Lønnstrekk kantinekostnadar</t>
  </si>
  <si>
    <t>Overtidsmat</t>
  </si>
  <si>
    <t>Yrkesskadeforsikring</t>
  </si>
  <si>
    <t>Pensjonsforsikring OTP</t>
  </si>
  <si>
    <t>Pensjonsforsikring AFP</t>
  </si>
  <si>
    <t>Sliterordninga</t>
  </si>
  <si>
    <t>OU-samordninga</t>
  </si>
  <si>
    <t>Reiseforsikring</t>
  </si>
  <si>
    <t>5980+6860</t>
  </si>
  <si>
    <t>Kurs/opplæring (kompetansebygging)</t>
  </si>
  <si>
    <t>Diverse sosiale kostnadar</t>
  </si>
  <si>
    <t>Flere</t>
  </si>
  <si>
    <t>Helsefremjande tiltak (HMS)</t>
  </si>
  <si>
    <t>Rekruttering</t>
  </si>
  <si>
    <t>Fri telefon/avis/anna leiinga</t>
  </si>
  <si>
    <t>Kontroll OK</t>
  </si>
  <si>
    <t>Kontroll lønnsbudsjett OK</t>
  </si>
  <si>
    <t>Fordelte felleskostnader</t>
  </si>
  <si>
    <t>FORDELTE FELLESKOSTNADER</t>
  </si>
  <si>
    <t>Avskrivning varige driftsmidler</t>
  </si>
  <si>
    <t>Avskriving ombyggingskostnader CK10</t>
  </si>
  <si>
    <t>Frakt, transport, forsikring v/varefors</t>
  </si>
  <si>
    <t>Husleie inkl. felleskostnader og strøm</t>
  </si>
  <si>
    <t>Renhold</t>
  </si>
  <si>
    <t>Andre kostnader lokaler</t>
  </si>
  <si>
    <t>Leie kontormaskiner</t>
  </si>
  <si>
    <t>Leie transportmidler</t>
  </si>
  <si>
    <t>Kostnadsført kontorutstyr</t>
  </si>
  <si>
    <t>Kostnadsført inventar</t>
  </si>
  <si>
    <t>Kostnadsført datautstyr</t>
  </si>
  <si>
    <t>Programvareanskaffelse</t>
  </si>
  <si>
    <t>Programvare løpende kostnader</t>
  </si>
  <si>
    <t>Internett</t>
  </si>
  <si>
    <t>Vedlikehold/flytting</t>
  </si>
  <si>
    <t>Service kontormaskiner</t>
  </si>
  <si>
    <t>Revisjonshonorar</t>
  </si>
  <si>
    <t>Regnskapshonorar</t>
  </si>
  <si>
    <t>Juridisk bistand</t>
  </si>
  <si>
    <t>Kontorrekvisita</t>
  </si>
  <si>
    <t>Bøker/abonnement</t>
  </si>
  <si>
    <t>Avis</t>
  </si>
  <si>
    <t>Telefon</t>
  </si>
  <si>
    <t>Porto</t>
  </si>
  <si>
    <t>Annonser</t>
  </si>
  <si>
    <t>Kontingenter</t>
  </si>
  <si>
    <t>Forsikringer (næringslivsforsikring)</t>
  </si>
  <si>
    <t>Diverse 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</si>
</sst>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64" formatCode="&quot;kr&quot;\ #,##0.00;[Red]\-&quot;kr&quot;\ #,##0.00"/>
    <numFmt numFmtId="165" formatCode="_-* #,##0.00_-;\-* #,##0.00_-;_-* &quot;-&quot;??_-;_-@_-"/>
    <numFmt numFmtId="166" formatCode="_-* #,##0.00&quot; kr&quot;_-;\-* #,##0.00&quot; kr&quot;_-;_-* &quot;-&quot;??&quot; kr&quot;_-;_-@_-"/>
    <numFmt numFmtId="167" formatCode="_-* #,##0.00_ _k_r_-;\-* #,##0.00_ _k_r_-;_-* &quot;-&quot;??_ _k_r_-;_-@_-"/>
    <numFmt numFmtId="168" formatCode="0_ ;[Red]\-0\ "/>
    <numFmt numFmtId="169" formatCode="#,##0_ ;[Red]\-#,##0\ "/>
    <numFmt numFmtId="170" formatCode="_-* #,##0_-;\-* #,##0_-;_-* &quot;-&quot;??_-;_-@_-"/>
    <numFmt numFmtId="171" formatCode="_-* #,##0&quot; kr&quot;_-;\-* #,##0&quot; kr&quot;_-;_-* &quot;-&quot;??&quot; kr&quot;_-;_-@_-"/>
    <numFmt numFmtId="172" formatCode="_ * #,##0_ ;_ * \-#,##0_ ;_ * \-??_ ;_ @_ "/>
    <numFmt numFmtId="173" formatCode="0.00000000000"/>
    <numFmt numFmtId="174" formatCode="0.000"/>
    <numFmt numFmtId="175" formatCode="#,##0.0000"/>
    <numFmt numFmtId="176" formatCode="#,##0;[Red]\-#,##0;"/>
    <numFmt numFmtId="177" formatCode="#,##0.00;[Red]\-#,##0.00;"/>
    <numFmt numFmtId="178" formatCode="_ * #,##0.00_ ;_ * \-#,##0.00_ ;_ * \-??_ ;_ @_ "/>
    <numFmt numFmtId="179" formatCode="#,##0.000"/>
  </numFmts>
  <fonts count="55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</font>
    <font>
      <sz val="8"/>
      <name val="Geneva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Geneva"/>
    </font>
    <font>
      <u/>
      <sz val="9"/>
      <color theme="11"/>
      <name val="Geneva"/>
    </font>
    <font>
      <sz val="12"/>
      <color theme="1"/>
      <name val="Calibri"/>
      <family val="2"/>
      <scheme val="minor"/>
    </font>
    <font>
      <b/>
      <sz val="14"/>
      <name val="Trebuchet MS"/>
      <family val="2"/>
    </font>
    <font>
      <sz val="9"/>
      <name val="Trebuchet MS"/>
      <family val="2"/>
    </font>
    <font>
      <i/>
      <sz val="10"/>
      <name val="Trebuchet MS"/>
      <family val="2"/>
    </font>
    <font>
      <i/>
      <sz val="11"/>
      <name val="Trebuchet MS"/>
      <family val="2"/>
    </font>
    <font>
      <sz val="12"/>
      <color theme="1"/>
      <name val="Trebuchet MS"/>
      <family val="2"/>
    </font>
    <font>
      <b/>
      <sz val="11"/>
      <name val="Trebuchet MS"/>
      <family val="2"/>
    </font>
    <font>
      <sz val="9"/>
      <color theme="1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i/>
      <sz val="9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  <font>
      <sz val="8"/>
      <name val="Trebuchet MS"/>
      <family val="2"/>
    </font>
    <font>
      <b/>
      <sz val="12"/>
      <color theme="1"/>
      <name val="Trebuchet MS"/>
      <family val="2"/>
    </font>
    <font>
      <sz val="10"/>
      <color theme="1"/>
      <name val="Trebuchet MS"/>
      <family val="2"/>
    </font>
    <font>
      <b/>
      <sz val="12"/>
      <name val="Trebuchet MS"/>
      <family val="2"/>
    </font>
    <font>
      <i/>
      <sz val="10"/>
      <color theme="1"/>
      <name val="Trebuchet MS"/>
      <family val="2"/>
    </font>
    <font>
      <b/>
      <sz val="11"/>
      <color theme="1"/>
      <name val="Trebuchet MS"/>
      <family val="2"/>
    </font>
    <font>
      <sz val="10"/>
      <name val="Trebuchet MS"/>
      <family val="2"/>
    </font>
    <font>
      <sz val="11"/>
      <color rgb="FFFF0000"/>
      <name val="Trebuchet MS"/>
      <family val="2"/>
    </font>
    <font>
      <sz val="10"/>
      <color indexed="8"/>
      <name val="Trebuchet MS"/>
      <family val="2"/>
    </font>
    <font>
      <b/>
      <sz val="16"/>
      <name val="Trebuchet MS"/>
      <family val="2"/>
    </font>
    <font>
      <sz val="9"/>
      <color indexed="8"/>
      <name val="Trebuchet MS"/>
      <family val="2"/>
    </font>
    <font>
      <sz val="11"/>
      <color indexed="8"/>
      <name val="Trebuchet MS"/>
      <family val="2"/>
    </font>
    <font>
      <b/>
      <sz val="18"/>
      <name val="Trebuchet MS"/>
      <family val="2"/>
    </font>
    <font>
      <b/>
      <sz val="12"/>
      <color indexed="8"/>
      <name val="Trebuchet MS"/>
      <family val="2"/>
    </font>
    <font>
      <b/>
      <sz val="16"/>
      <color indexed="8"/>
      <name val="Trebuchet MS"/>
      <family val="2"/>
    </font>
    <font>
      <b/>
      <sz val="10"/>
      <color indexed="8"/>
      <name val="Trebuchet MS"/>
      <family val="2"/>
    </font>
    <font>
      <b/>
      <sz val="12"/>
      <color indexed="9"/>
      <name val="Trebuchet MS"/>
      <family val="2"/>
    </font>
    <font>
      <b/>
      <sz val="11"/>
      <color indexed="8"/>
      <name val="Trebuchet MS"/>
      <family val="2"/>
    </font>
    <font>
      <b/>
      <i/>
      <sz val="11"/>
      <name val="Trebuchet MS"/>
      <family val="2"/>
    </font>
    <font>
      <i/>
      <sz val="11"/>
      <color theme="1"/>
      <name val="Trebuchet MS"/>
      <family val="2"/>
    </font>
    <font>
      <b/>
      <sz val="16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1"/>
      <color rgb="FF000000"/>
      <name val="Trebuchet MS"/>
      <family val="2"/>
    </font>
    <font>
      <sz val="1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darkUp">
        <fgColor theme="0"/>
        <bgColor theme="6" tint="0.79998168889431442"/>
      </patternFill>
    </fill>
    <fill>
      <patternFill patternType="darkUp">
        <fgColor theme="0"/>
        <bgColor theme="6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darkUp">
        <fgColor theme="0"/>
        <bgColor theme="5" tint="0.79998168889431442"/>
      </patternFill>
    </fill>
    <fill>
      <patternFill patternType="lightUp">
        <fgColor theme="0"/>
        <bgColor theme="6" tint="0.79998168889431442"/>
      </patternFill>
    </fill>
    <fill>
      <patternFill patternType="lightUp">
        <fgColor theme="0"/>
        <bgColor theme="5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darkUp">
        <fgColor theme="0"/>
        <bgColor theme="4" tint="0.79998168889431442"/>
      </patternFill>
    </fill>
    <fill>
      <patternFill patternType="lightUp">
        <fgColor theme="0"/>
        <bgColor theme="2"/>
      </patternFill>
    </fill>
    <fill>
      <patternFill patternType="lightUp">
        <fgColor theme="0"/>
        <bgColor theme="4" tint="0.79995117038483843"/>
      </patternFill>
    </fill>
    <fill>
      <patternFill patternType="darkUp">
        <fgColor theme="0"/>
        <bgColor theme="6" tint="0.79995117038483843"/>
      </patternFill>
    </fill>
    <fill>
      <patternFill patternType="darkUp">
        <fgColor theme="0"/>
        <bgColor theme="2" tint="-9.9978637043366805E-2"/>
      </patternFill>
    </fill>
    <fill>
      <patternFill patternType="lightUp">
        <fgColor theme="0"/>
        <bgColor theme="4" tint="0.79998168889431442"/>
      </patternFill>
    </fill>
    <fill>
      <patternFill patternType="darkUp">
        <fgColor theme="0"/>
        <bgColor theme="2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7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8" fillId="0" borderId="0"/>
    <xf numFmtId="0" fontId="6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</cellStyleXfs>
  <cellXfs count="398">
    <xf numFmtId="0" fontId="0" fillId="0" borderId="0" xfId="0"/>
    <xf numFmtId="0" fontId="9" fillId="0" borderId="0" xfId="2"/>
    <xf numFmtId="0" fontId="14" fillId="0" borderId="0" xfId="0" applyFont="1"/>
    <xf numFmtId="0" fontId="15" fillId="0" borderId="0" xfId="0" applyFont="1"/>
    <xf numFmtId="0" fontId="21" fillId="0" borderId="0" xfId="2" applyFont="1"/>
    <xf numFmtId="0" fontId="20" fillId="0" borderId="0" xfId="2" applyFont="1"/>
    <xf numFmtId="1" fontId="14" fillId="0" borderId="0" xfId="0" applyNumberFormat="1" applyFont="1"/>
    <xf numFmtId="38" fontId="20" fillId="0" borderId="0" xfId="0" applyNumberFormat="1" applyFont="1"/>
    <xf numFmtId="169" fontId="20" fillId="2" borderId="0" xfId="0" applyNumberFormat="1" applyFont="1" applyFill="1"/>
    <xf numFmtId="0" fontId="25" fillId="0" borderId="0" xfId="19" applyFont="1"/>
    <xf numFmtId="0" fontId="26" fillId="0" borderId="0" xfId="19" applyFont="1"/>
    <xf numFmtId="0" fontId="17" fillId="0" borderId="0" xfId="19" applyFont="1"/>
    <xf numFmtId="3" fontId="17" fillId="0" borderId="0" xfId="19" applyNumberFormat="1" applyFont="1"/>
    <xf numFmtId="0" fontId="27" fillId="0" borderId="0" xfId="7" applyFont="1"/>
    <xf numFmtId="0" fontId="13" fillId="0" borderId="0" xfId="0" applyFont="1"/>
    <xf numFmtId="0" fontId="20" fillId="0" borderId="0" xfId="0" applyFont="1"/>
    <xf numFmtId="38" fontId="21" fillId="0" borderId="0" xfId="2" applyNumberFormat="1" applyFont="1"/>
    <xf numFmtId="0" fontId="20" fillId="2" borderId="0" xfId="0" applyFont="1" applyFill="1"/>
    <xf numFmtId="0" fontId="26" fillId="0" borderId="0" xfId="0" applyFont="1"/>
    <xf numFmtId="38" fontId="14" fillId="0" borderId="0" xfId="0" applyNumberFormat="1" applyFont="1"/>
    <xf numFmtId="9" fontId="14" fillId="0" borderId="0" xfId="0" applyNumberFormat="1" applyFont="1"/>
    <xf numFmtId="0" fontId="16" fillId="0" borderId="0" xfId="0" applyFont="1"/>
    <xf numFmtId="3" fontId="20" fillId="0" borderId="0" xfId="0" applyNumberFormat="1" applyFont="1"/>
    <xf numFmtId="3" fontId="20" fillId="0" borderId="0" xfId="5" applyNumberFormat="1" applyFont="1" applyFill="1" applyBorder="1"/>
    <xf numFmtId="169" fontId="33" fillId="0" borderId="0" xfId="0" applyNumberFormat="1" applyFont="1"/>
    <xf numFmtId="3" fontId="14" fillId="0" borderId="0" xfId="0" applyNumberFormat="1" applyFont="1"/>
    <xf numFmtId="1" fontId="14" fillId="0" borderId="0" xfId="0" quotePrefix="1" applyNumberFormat="1" applyFont="1"/>
    <xf numFmtId="0" fontId="14" fillId="0" borderId="0" xfId="0" quotePrefix="1" applyFont="1"/>
    <xf numFmtId="171" fontId="14" fillId="0" borderId="0" xfId="0" applyNumberFormat="1" applyFont="1"/>
    <xf numFmtId="0" fontId="35" fillId="0" borderId="0" xfId="0" applyFont="1"/>
    <xf numFmtId="171" fontId="14" fillId="0" borderId="0" xfId="5" applyNumberFormat="1" applyFont="1"/>
    <xf numFmtId="0" fontId="33" fillId="0" borderId="0" xfId="0" applyFont="1"/>
    <xf numFmtId="38" fontId="20" fillId="0" borderId="0" xfId="2" applyNumberFormat="1" applyFont="1"/>
    <xf numFmtId="0" fontId="22" fillId="0" borderId="0" xfId="0" applyFont="1"/>
    <xf numFmtId="3" fontId="22" fillId="0" borderId="0" xfId="0" applyNumberFormat="1" applyFont="1"/>
    <xf numFmtId="169" fontId="20" fillId="0" borderId="0" xfId="0" applyNumberFormat="1" applyFont="1"/>
    <xf numFmtId="3" fontId="20" fillId="0" borderId="0" xfId="0" quotePrefix="1" applyNumberFormat="1" applyFont="1"/>
    <xf numFmtId="3" fontId="20" fillId="0" borderId="0" xfId="5" applyNumberFormat="1" applyFont="1" applyFill="1"/>
    <xf numFmtId="0" fontId="37" fillId="0" borderId="0" xfId="0" applyFont="1"/>
    <xf numFmtId="168" fontId="39" fillId="0" borderId="0" xfId="0" applyNumberFormat="1" applyFont="1" applyAlignment="1">
      <alignment horizontal="left"/>
    </xf>
    <xf numFmtId="0" fontId="40" fillId="0" borderId="0" xfId="0" applyFont="1"/>
    <xf numFmtId="168" fontId="23" fillId="0" borderId="0" xfId="0" applyNumberFormat="1" applyFont="1" applyAlignment="1">
      <alignment horizontal="left"/>
    </xf>
    <xf numFmtId="0" fontId="41" fillId="2" borderId="0" xfId="0" applyFont="1" applyFill="1"/>
    <xf numFmtId="0" fontId="42" fillId="0" borderId="0" xfId="0" applyFont="1"/>
    <xf numFmtId="169" fontId="43" fillId="0" borderId="0" xfId="0" applyNumberFormat="1" applyFont="1" applyAlignment="1">
      <alignment vertical="center"/>
    </xf>
    <xf numFmtId="168" fontId="20" fillId="0" borderId="0" xfId="0" applyNumberFormat="1" applyFont="1" applyAlignment="1">
      <alignment horizontal="right"/>
    </xf>
    <xf numFmtId="49" fontId="20" fillId="0" borderId="0" xfId="0" applyNumberFormat="1" applyFont="1"/>
    <xf numFmtId="169" fontId="20" fillId="0" borderId="0" xfId="0" applyNumberFormat="1" applyFont="1" applyAlignment="1">
      <alignment horizontal="right" vertical="center"/>
    </xf>
    <xf numFmtId="169" fontId="20" fillId="0" borderId="0" xfId="0" applyNumberFormat="1" applyFont="1" applyAlignment="1">
      <alignment horizontal="left"/>
    </xf>
    <xf numFmtId="14" fontId="44" fillId="0" borderId="0" xfId="0" applyNumberFormat="1" applyFont="1" applyAlignment="1">
      <alignment horizontal="left" vertical="center"/>
    </xf>
    <xf numFmtId="169" fontId="40" fillId="0" borderId="4" xfId="0" applyNumberFormat="1" applyFont="1" applyBorder="1" applyAlignment="1">
      <alignment horizontal="left" vertical="center"/>
    </xf>
    <xf numFmtId="169" fontId="40" fillId="0" borderId="4" xfId="5" applyNumberFormat="1" applyFont="1" applyFill="1" applyBorder="1" applyAlignment="1" applyProtection="1">
      <alignment horizontal="right" vertical="center"/>
    </xf>
    <xf numFmtId="169" fontId="42" fillId="0" borderId="0" xfId="0" applyNumberFormat="1" applyFont="1" applyAlignment="1">
      <alignment horizontal="left" vertical="center"/>
    </xf>
    <xf numFmtId="169" fontId="35" fillId="0" borderId="0" xfId="5" applyNumberFormat="1" applyFont="1" applyFill="1" applyBorder="1" applyAlignment="1" applyProtection="1">
      <alignment horizontal="right" vertical="center"/>
    </xf>
    <xf numFmtId="0" fontId="44" fillId="2" borderId="0" xfId="0" applyFont="1" applyFill="1"/>
    <xf numFmtId="169" fontId="20" fillId="2" borderId="0" xfId="0" applyNumberFormat="1" applyFont="1" applyFill="1" applyAlignment="1">
      <alignment horizontal="right" vertical="center"/>
    </xf>
    <xf numFmtId="38" fontId="38" fillId="0" borderId="0" xfId="0" applyNumberFormat="1" applyFont="1"/>
    <xf numFmtId="169" fontId="30" fillId="0" borderId="4" xfId="0" applyNumberFormat="1" applyFont="1" applyBorder="1"/>
    <xf numFmtId="169" fontId="30" fillId="0" borderId="4" xfId="0" applyNumberFormat="1" applyFont="1" applyBorder="1" applyAlignment="1">
      <alignment horizontal="right" vertical="center"/>
    </xf>
    <xf numFmtId="0" fontId="41" fillId="0" borderId="0" xfId="0" applyFont="1"/>
    <xf numFmtId="169" fontId="36" fillId="0" borderId="0" xfId="0" applyNumberFormat="1" applyFont="1" applyAlignment="1">
      <alignment horizontal="right" vertical="center"/>
    </xf>
    <xf numFmtId="169" fontId="44" fillId="0" borderId="0" xfId="0" applyNumberFormat="1" applyFont="1" applyAlignment="1">
      <alignment horizontal="left" vertical="center"/>
    </xf>
    <xf numFmtId="169" fontId="44" fillId="0" borderId="0" xfId="5" applyNumberFormat="1" applyFont="1" applyFill="1" applyBorder="1" applyAlignment="1" applyProtection="1">
      <alignment horizontal="right" vertical="center"/>
    </xf>
    <xf numFmtId="3" fontId="42" fillId="0" borderId="0" xfId="0" applyNumberFormat="1" applyFont="1"/>
    <xf numFmtId="169" fontId="38" fillId="0" borderId="0" xfId="0" applyNumberFormat="1" applyFont="1" applyAlignment="1">
      <alignment horizontal="left" vertical="center"/>
    </xf>
    <xf numFmtId="0" fontId="18" fillId="0" borderId="0" xfId="0" applyFont="1"/>
    <xf numFmtId="3" fontId="18" fillId="0" borderId="0" xfId="5" applyNumberFormat="1" applyFont="1" applyFill="1" applyBorder="1"/>
    <xf numFmtId="3" fontId="34" fillId="0" borderId="0" xfId="0" applyNumberFormat="1" applyFont="1"/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45" fillId="0" borderId="0" xfId="0" applyFont="1"/>
    <xf numFmtId="0" fontId="20" fillId="2" borderId="0" xfId="0" applyFont="1" applyFill="1" applyAlignment="1">
      <alignment horizontal="right"/>
    </xf>
    <xf numFmtId="0" fontId="45" fillId="0" borderId="0" xfId="0" applyFont="1" applyAlignment="1">
      <alignment horizontal="left" vertical="top"/>
    </xf>
    <xf numFmtId="0" fontId="18" fillId="3" borderId="4" xfId="0" applyFont="1" applyFill="1" applyBorder="1"/>
    <xf numFmtId="3" fontId="18" fillId="3" borderId="4" xfId="5" applyNumberFormat="1" applyFont="1" applyFill="1" applyBorder="1"/>
    <xf numFmtId="0" fontId="19" fillId="0" borderId="0" xfId="2" applyFont="1"/>
    <xf numFmtId="0" fontId="29" fillId="0" borderId="0" xfId="19" applyFont="1" applyAlignment="1">
      <alignment horizontal="left"/>
    </xf>
    <xf numFmtId="169" fontId="20" fillId="0" borderId="0" xfId="0" applyNumberFormat="1" applyFont="1" applyAlignment="1">
      <alignment horizontal="right"/>
    </xf>
    <xf numFmtId="49" fontId="20" fillId="0" borderId="0" xfId="0" applyNumberFormat="1" applyFont="1" applyAlignment="1">
      <alignment horizontal="right"/>
    </xf>
    <xf numFmtId="2" fontId="17" fillId="0" borderId="0" xfId="19" applyNumberFormat="1" applyFont="1"/>
    <xf numFmtId="0" fontId="26" fillId="0" borderId="0" xfId="7" applyFont="1"/>
    <xf numFmtId="174" fontId="14" fillId="0" borderId="0" xfId="0" applyNumberFormat="1" applyFont="1"/>
    <xf numFmtId="2" fontId="14" fillId="0" borderId="0" xfId="0" applyNumberFormat="1" applyFont="1"/>
    <xf numFmtId="173" fontId="14" fillId="0" borderId="0" xfId="0" applyNumberFormat="1" applyFont="1"/>
    <xf numFmtId="168" fontId="20" fillId="0" borderId="0" xfId="2" applyNumberFormat="1" applyFont="1" applyAlignment="1">
      <alignment horizontal="right"/>
    </xf>
    <xf numFmtId="0" fontId="20" fillId="0" borderId="0" xfId="2" applyFont="1" applyAlignment="1">
      <alignment horizontal="left"/>
    </xf>
    <xf numFmtId="0" fontId="33" fillId="0" borderId="0" xfId="7" applyFont="1"/>
    <xf numFmtId="0" fontId="20" fillId="0" borderId="0" xfId="7" applyFont="1"/>
    <xf numFmtId="3" fontId="20" fillId="0" borderId="0" xfId="7" applyNumberFormat="1" applyFont="1"/>
    <xf numFmtId="0" fontId="36" fillId="0" borderId="0" xfId="0" applyFont="1"/>
    <xf numFmtId="3" fontId="18" fillId="0" borderId="0" xfId="5" applyNumberFormat="1" applyFont="1" applyFill="1"/>
    <xf numFmtId="49" fontId="18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right" wrapText="1"/>
    </xf>
    <xf numFmtId="0" fontId="18" fillId="0" borderId="4" xfId="0" applyFont="1" applyBorder="1"/>
    <xf numFmtId="3" fontId="18" fillId="0" borderId="4" xfId="5" applyNumberFormat="1" applyFont="1" applyFill="1" applyBorder="1"/>
    <xf numFmtId="16" fontId="20" fillId="0" borderId="0" xfId="0" applyNumberFormat="1" applyFont="1"/>
    <xf numFmtId="3" fontId="18" fillId="0" borderId="4" xfId="0" applyNumberFormat="1" applyFont="1" applyBorder="1"/>
    <xf numFmtId="0" fontId="18" fillId="9" borderId="4" xfId="0" applyFont="1" applyFill="1" applyBorder="1"/>
    <xf numFmtId="3" fontId="18" fillId="9" borderId="4" xfId="5" applyNumberFormat="1" applyFont="1" applyFill="1" applyBorder="1"/>
    <xf numFmtId="0" fontId="20" fillId="10" borderId="0" xfId="0" applyFont="1" applyFill="1"/>
    <xf numFmtId="0" fontId="20" fillId="11" borderId="0" xfId="0" applyFont="1" applyFill="1"/>
    <xf numFmtId="3" fontId="20" fillId="11" borderId="0" xfId="5" applyNumberFormat="1" applyFont="1" applyFill="1"/>
    <xf numFmtId="0" fontId="20" fillId="15" borderId="0" xfId="0" applyFont="1" applyFill="1"/>
    <xf numFmtId="0" fontId="20" fillId="17" borderId="0" xfId="0" applyFont="1" applyFill="1"/>
    <xf numFmtId="3" fontId="20" fillId="17" borderId="0" xfId="0" applyNumberFormat="1" applyFont="1" applyFill="1"/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3" fontId="20" fillId="10" borderId="0" xfId="5" applyNumberFormat="1" applyFont="1" applyFill="1" applyBorder="1"/>
    <xf numFmtId="0" fontId="33" fillId="2" borderId="0" xfId="0" applyFont="1" applyFill="1" applyAlignment="1">
      <alignment horizontal="right"/>
    </xf>
    <xf numFmtId="38" fontId="18" fillId="0" borderId="0" xfId="0" applyNumberFormat="1" applyFont="1"/>
    <xf numFmtId="0" fontId="20" fillId="0" borderId="0" xfId="2" applyFont="1" applyAlignment="1">
      <alignment horizontal="right"/>
    </xf>
    <xf numFmtId="0" fontId="21" fillId="0" borderId="0" xfId="19" applyFont="1"/>
    <xf numFmtId="38" fontId="32" fillId="0" borderId="0" xfId="2" applyNumberFormat="1" applyFont="1"/>
    <xf numFmtId="3" fontId="20" fillId="15" borderId="0" xfId="5" applyNumberFormat="1" applyFont="1" applyFill="1" applyBorder="1"/>
    <xf numFmtId="0" fontId="20" fillId="19" borderId="0" xfId="0" applyFont="1" applyFill="1"/>
    <xf numFmtId="3" fontId="20" fillId="19" borderId="0" xfId="5" applyNumberFormat="1" applyFont="1" applyFill="1" applyBorder="1"/>
    <xf numFmtId="0" fontId="20" fillId="20" borderId="0" xfId="0" applyFont="1" applyFill="1"/>
    <xf numFmtId="38" fontId="20" fillId="20" borderId="0" xfId="2" applyNumberFormat="1" applyFont="1" applyFill="1"/>
    <xf numFmtId="38" fontId="21" fillId="20" borderId="0" xfId="2" applyNumberFormat="1" applyFont="1" applyFill="1"/>
    <xf numFmtId="3" fontId="20" fillId="20" borderId="0" xfId="0" applyNumberFormat="1" applyFont="1" applyFill="1"/>
    <xf numFmtId="0" fontId="47" fillId="0" borderId="0" xfId="19" applyFont="1"/>
    <xf numFmtId="3" fontId="21" fillId="0" borderId="0" xfId="19" applyNumberFormat="1" applyFont="1"/>
    <xf numFmtId="3" fontId="46" fillId="0" borderId="0" xfId="19" applyNumberFormat="1" applyFont="1"/>
    <xf numFmtId="170" fontId="21" fillId="0" borderId="0" xfId="24" applyNumberFormat="1" applyFont="1" applyFill="1"/>
    <xf numFmtId="37" fontId="21" fillId="0" borderId="0" xfId="24" applyNumberFormat="1" applyFont="1" applyFill="1"/>
    <xf numFmtId="2" fontId="21" fillId="5" borderId="0" xfId="19" applyNumberFormat="1" applyFont="1" applyFill="1"/>
    <xf numFmtId="0" fontId="21" fillId="5" borderId="3" xfId="19" applyFont="1" applyFill="1" applyBorder="1"/>
    <xf numFmtId="9" fontId="20" fillId="0" borderId="0" xfId="16" applyFont="1" applyFill="1"/>
    <xf numFmtId="0" fontId="21" fillId="16" borderId="0" xfId="19" applyFont="1" applyFill="1"/>
    <xf numFmtId="37" fontId="21" fillId="16" borderId="0" xfId="19" applyNumberFormat="1" applyFont="1" applyFill="1"/>
    <xf numFmtId="170" fontId="21" fillId="0" borderId="0" xfId="19" applyNumberFormat="1" applyFont="1"/>
    <xf numFmtId="0" fontId="32" fillId="5" borderId="5" xfId="19" applyFont="1" applyFill="1" applyBorder="1"/>
    <xf numFmtId="2" fontId="32" fillId="5" borderId="1" xfId="19" applyNumberFormat="1" applyFont="1" applyFill="1" applyBorder="1"/>
    <xf numFmtId="175" fontId="21" fillId="0" borderId="0" xfId="19" applyNumberFormat="1" applyFont="1"/>
    <xf numFmtId="3" fontId="20" fillId="0" borderId="0" xfId="19" applyNumberFormat="1" applyFont="1"/>
    <xf numFmtId="2" fontId="21" fillId="7" borderId="0" xfId="19" applyNumberFormat="1" applyFont="1" applyFill="1"/>
    <xf numFmtId="9" fontId="21" fillId="0" borderId="0" xfId="16" applyFont="1" applyFill="1" applyAlignment="1"/>
    <xf numFmtId="0" fontId="21" fillId="7" borderId="3" xfId="19" applyFont="1" applyFill="1" applyBorder="1"/>
    <xf numFmtId="9" fontId="21" fillId="0" borderId="0" xfId="16" applyFont="1" applyFill="1"/>
    <xf numFmtId="0" fontId="21" fillId="17" borderId="0" xfId="19" applyFont="1" applyFill="1"/>
    <xf numFmtId="0" fontId="32" fillId="7" borderId="5" xfId="19" applyFont="1" applyFill="1" applyBorder="1"/>
    <xf numFmtId="2" fontId="32" fillId="7" borderId="1" xfId="19" applyNumberFormat="1" applyFont="1" applyFill="1" applyBorder="1"/>
    <xf numFmtId="0" fontId="46" fillId="0" borderId="0" xfId="19" applyFont="1" applyAlignment="1">
      <alignment horizontal="right"/>
    </xf>
    <xf numFmtId="2" fontId="21" fillId="6" borderId="0" xfId="19" applyNumberFormat="1" applyFont="1" applyFill="1"/>
    <xf numFmtId="4" fontId="21" fillId="0" borderId="0" xfId="19" applyNumberFormat="1" applyFont="1"/>
    <xf numFmtId="0" fontId="21" fillId="6" borderId="3" xfId="19" applyFont="1" applyFill="1" applyBorder="1"/>
    <xf numFmtId="170" fontId="46" fillId="0" borderId="0" xfId="19" applyNumberFormat="1" applyFont="1"/>
    <xf numFmtId="0" fontId="32" fillId="6" borderId="5" xfId="19" applyFont="1" applyFill="1" applyBorder="1"/>
    <xf numFmtId="2" fontId="32" fillId="6" borderId="1" xfId="19" applyNumberFormat="1" applyFont="1" applyFill="1" applyBorder="1"/>
    <xf numFmtId="0" fontId="21" fillId="9" borderId="3" xfId="19" applyFont="1" applyFill="1" applyBorder="1"/>
    <xf numFmtId="2" fontId="21" fillId="9" borderId="0" xfId="19" applyNumberFormat="1" applyFont="1" applyFill="1"/>
    <xf numFmtId="0" fontId="32" fillId="9" borderId="5" xfId="19" applyFont="1" applyFill="1" applyBorder="1"/>
    <xf numFmtId="2" fontId="32" fillId="9" borderId="1" xfId="19" applyNumberFormat="1" applyFont="1" applyFill="1" applyBorder="1"/>
    <xf numFmtId="4" fontId="32" fillId="9" borderId="1" xfId="19" applyNumberFormat="1" applyFont="1" applyFill="1" applyBorder="1"/>
    <xf numFmtId="0" fontId="18" fillId="0" borderId="4" xfId="7" applyFont="1" applyBorder="1"/>
    <xf numFmtId="172" fontId="18" fillId="0" borderId="4" xfId="7" applyNumberFormat="1" applyFont="1" applyBorder="1"/>
    <xf numFmtId="0" fontId="21" fillId="21" borderId="0" xfId="19" applyFont="1" applyFill="1"/>
    <xf numFmtId="0" fontId="21" fillId="20" borderId="0" xfId="19" applyFont="1" applyFill="1"/>
    <xf numFmtId="0" fontId="20" fillId="22" borderId="0" xfId="0" applyFont="1" applyFill="1"/>
    <xf numFmtId="3" fontId="20" fillId="22" borderId="0" xfId="0" applyNumberFormat="1" applyFont="1" applyFill="1"/>
    <xf numFmtId="3" fontId="20" fillId="19" borderId="0" xfId="0" applyNumberFormat="1" applyFont="1" applyFill="1"/>
    <xf numFmtId="49" fontId="20" fillId="7" borderId="0" xfId="0" applyNumberFormat="1" applyFont="1" applyFill="1"/>
    <xf numFmtId="169" fontId="20" fillId="7" borderId="0" xfId="0" applyNumberFormat="1" applyFont="1" applyFill="1"/>
    <xf numFmtId="169" fontId="20" fillId="7" borderId="0" xfId="0" applyNumberFormat="1" applyFont="1" applyFill="1" applyAlignment="1">
      <alignment horizontal="right" vertical="center"/>
    </xf>
    <xf numFmtId="49" fontId="20" fillId="6" borderId="0" xfId="0" applyNumberFormat="1" applyFont="1" applyFill="1"/>
    <xf numFmtId="169" fontId="20" fillId="6" borderId="0" xfId="0" applyNumberFormat="1" applyFont="1" applyFill="1"/>
    <xf numFmtId="169" fontId="20" fillId="6" borderId="0" xfId="0" applyNumberFormat="1" applyFont="1" applyFill="1" applyAlignment="1">
      <alignment horizontal="right" vertical="center"/>
    </xf>
    <xf numFmtId="49" fontId="20" fillId="5" borderId="0" xfId="0" applyNumberFormat="1" applyFont="1" applyFill="1"/>
    <xf numFmtId="169" fontId="20" fillId="5" borderId="0" xfId="0" applyNumberFormat="1" applyFont="1" applyFill="1"/>
    <xf numFmtId="169" fontId="20" fillId="5" borderId="0" xfId="0" applyNumberFormat="1" applyFont="1" applyFill="1" applyAlignment="1">
      <alignment horizontal="right" vertical="center"/>
    </xf>
    <xf numFmtId="9" fontId="21" fillId="6" borderId="6" xfId="16" applyFont="1" applyFill="1" applyBorder="1"/>
    <xf numFmtId="9" fontId="29" fillId="5" borderId="2" xfId="16" applyFont="1" applyFill="1" applyBorder="1"/>
    <xf numFmtId="9" fontId="21" fillId="9" borderId="6" xfId="16" applyFont="1" applyFill="1" applyBorder="1"/>
    <xf numFmtId="9" fontId="29" fillId="5" borderId="6" xfId="16" applyFont="1" applyFill="1" applyBorder="1"/>
    <xf numFmtId="174" fontId="17" fillId="0" borderId="0" xfId="19" applyNumberFormat="1" applyFont="1"/>
    <xf numFmtId="9" fontId="29" fillId="7" borderId="2" xfId="16" applyFont="1" applyFill="1" applyBorder="1"/>
    <xf numFmtId="9" fontId="29" fillId="7" borderId="6" xfId="16" applyFont="1" applyFill="1" applyBorder="1"/>
    <xf numFmtId="9" fontId="29" fillId="6" borderId="2" xfId="16" applyFont="1" applyFill="1" applyBorder="1"/>
    <xf numFmtId="2" fontId="14" fillId="0" borderId="0" xfId="16" applyNumberFormat="1" applyFont="1" applyFill="1"/>
    <xf numFmtId="0" fontId="17" fillId="0" borderId="0" xfId="19" quotePrefix="1" applyFont="1"/>
    <xf numFmtId="9" fontId="29" fillId="9" borderId="2" xfId="16" applyFont="1" applyFill="1" applyBorder="1"/>
    <xf numFmtId="4" fontId="29" fillId="0" borderId="0" xfId="19" applyNumberFormat="1" applyFont="1"/>
    <xf numFmtId="2" fontId="29" fillId="0" borderId="0" xfId="19" applyNumberFormat="1" applyFont="1"/>
    <xf numFmtId="3" fontId="29" fillId="0" borderId="0" xfId="19" applyNumberFormat="1" applyFont="1"/>
    <xf numFmtId="0" fontId="29" fillId="0" borderId="0" xfId="19" applyFont="1" applyAlignment="1">
      <alignment horizontal="right"/>
    </xf>
    <xf numFmtId="2" fontId="21" fillId="0" borderId="4" xfId="19" applyNumberFormat="1" applyFont="1" applyBorder="1"/>
    <xf numFmtId="4" fontId="32" fillId="0" borderId="4" xfId="19" applyNumberFormat="1" applyFont="1" applyBorder="1"/>
    <xf numFmtId="0" fontId="32" fillId="0" borderId="4" xfId="19" applyFont="1" applyBorder="1" applyAlignment="1">
      <alignment horizontal="right"/>
    </xf>
    <xf numFmtId="0" fontId="31" fillId="0" borderId="0" xfId="19" applyFont="1"/>
    <xf numFmtId="0" fontId="29" fillId="0" borderId="0" xfId="19" applyFont="1"/>
    <xf numFmtId="170" fontId="29" fillId="0" borderId="0" xfId="19" applyNumberFormat="1" applyFont="1"/>
    <xf numFmtId="171" fontId="33" fillId="0" borderId="0" xfId="5" applyNumberFormat="1" applyFont="1" applyFill="1"/>
    <xf numFmtId="49" fontId="20" fillId="9" borderId="0" xfId="0" applyNumberFormat="1" applyFont="1" applyFill="1"/>
    <xf numFmtId="169" fontId="20" fillId="9" borderId="0" xfId="0" applyNumberFormat="1" applyFont="1" applyFill="1"/>
    <xf numFmtId="169" fontId="20" fillId="9" borderId="0" xfId="0" applyNumberFormat="1" applyFont="1" applyFill="1" applyAlignment="1">
      <alignment horizontal="right" vertical="center"/>
    </xf>
    <xf numFmtId="172" fontId="29" fillId="0" borderId="0" xfId="19" applyNumberFormat="1" applyFont="1"/>
    <xf numFmtId="0" fontId="15" fillId="0" borderId="0" xfId="7" applyFont="1"/>
    <xf numFmtId="3" fontId="33" fillId="0" borderId="0" xfId="7" applyNumberFormat="1" applyFont="1"/>
    <xf numFmtId="3" fontId="20" fillId="8" borderId="0" xfId="5" applyNumberFormat="1" applyFont="1" applyFill="1" applyBorder="1"/>
    <xf numFmtId="0" fontId="20" fillId="23" borderId="0" xfId="0" applyFont="1" applyFill="1"/>
    <xf numFmtId="3" fontId="20" fillId="23" borderId="0" xfId="0" applyNumberFormat="1" applyFont="1" applyFill="1"/>
    <xf numFmtId="175" fontId="32" fillId="0" borderId="0" xfId="19" applyNumberFormat="1" applyFont="1"/>
    <xf numFmtId="9" fontId="17" fillId="0" borderId="0" xfId="16" applyFont="1"/>
    <xf numFmtId="3" fontId="26" fillId="0" borderId="0" xfId="19" applyNumberFormat="1" applyFont="1"/>
    <xf numFmtId="0" fontId="20" fillId="8" borderId="3" xfId="0" applyFont="1" applyFill="1" applyBorder="1"/>
    <xf numFmtId="0" fontId="20" fillId="8" borderId="0" xfId="0" applyFont="1" applyFill="1"/>
    <xf numFmtId="0" fontId="14" fillId="8" borderId="5" xfId="0" applyFont="1" applyFill="1" applyBorder="1"/>
    <xf numFmtId="0" fontId="14" fillId="8" borderId="1" xfId="0" applyFont="1" applyFill="1" applyBorder="1"/>
    <xf numFmtId="3" fontId="18" fillId="8" borderId="1" xfId="0" applyNumberFormat="1" applyFont="1" applyFill="1" applyBorder="1"/>
    <xf numFmtId="3" fontId="18" fillId="8" borderId="6" xfId="0" applyNumberFormat="1" applyFont="1" applyFill="1" applyBorder="1"/>
    <xf numFmtId="172" fontId="17" fillId="0" borderId="0" xfId="19" applyNumberFormat="1" applyFont="1"/>
    <xf numFmtId="0" fontId="14" fillId="0" borderId="0" xfId="0" applyFont="1" applyAlignment="1">
      <alignment horizontal="right"/>
    </xf>
    <xf numFmtId="37" fontId="21" fillId="20" borderId="0" xfId="19" applyNumberFormat="1" applyFont="1" applyFill="1"/>
    <xf numFmtId="37" fontId="21" fillId="24" borderId="0" xfId="19" applyNumberFormat="1" applyFont="1" applyFill="1"/>
    <xf numFmtId="37" fontId="21" fillId="17" borderId="0" xfId="19" applyNumberFormat="1" applyFont="1" applyFill="1"/>
    <xf numFmtId="0" fontId="33" fillId="0" borderId="0" xfId="7" applyFont="1" applyAlignment="1">
      <alignment horizontal="right"/>
    </xf>
    <xf numFmtId="37" fontId="29" fillId="0" borderId="0" xfId="19" applyNumberFormat="1" applyFont="1"/>
    <xf numFmtId="3" fontId="34" fillId="0" borderId="0" xfId="5" applyNumberFormat="1" applyFont="1" applyFill="1" applyBorder="1"/>
    <xf numFmtId="0" fontId="45" fillId="0" borderId="0" xfId="0" applyFont="1" applyAlignment="1">
      <alignment horizontal="center"/>
    </xf>
    <xf numFmtId="3" fontId="20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9" fontId="14" fillId="0" borderId="0" xfId="16" applyFont="1"/>
    <xf numFmtId="164" fontId="14" fillId="0" borderId="0" xfId="0" applyNumberFormat="1" applyFont="1"/>
    <xf numFmtId="0" fontId="20" fillId="25" borderId="0" xfId="0" applyFont="1" applyFill="1"/>
    <xf numFmtId="3" fontId="20" fillId="25" borderId="0" xfId="5" applyNumberFormat="1" applyFont="1" applyFill="1" applyBorder="1"/>
    <xf numFmtId="37" fontId="17" fillId="0" borderId="0" xfId="19" applyNumberFormat="1" applyFont="1"/>
    <xf numFmtId="0" fontId="2" fillId="0" borderId="0" xfId="2" applyFont="1"/>
    <xf numFmtId="169" fontId="38" fillId="0" borderId="0" xfId="0" applyNumberFormat="1" applyFont="1" applyAlignment="1">
      <alignment vertical="top"/>
    </xf>
    <xf numFmtId="3" fontId="38" fillId="0" borderId="2" xfId="0" applyNumberFormat="1" applyFont="1" applyBorder="1" applyAlignment="1">
      <alignment vertical="top"/>
    </xf>
    <xf numFmtId="169" fontId="38" fillId="0" borderId="0" xfId="0" quotePrefix="1" applyNumberFormat="1" applyFont="1" applyAlignment="1">
      <alignment vertical="top"/>
    </xf>
    <xf numFmtId="3" fontId="38" fillId="0" borderId="0" xfId="0" applyNumberFormat="1" applyFont="1" applyAlignment="1">
      <alignment vertical="center"/>
    </xf>
    <xf numFmtId="3" fontId="20" fillId="0" borderId="0" xfId="2" applyNumberFormat="1" applyFont="1"/>
    <xf numFmtId="37" fontId="34" fillId="0" borderId="0" xfId="24" applyNumberFormat="1" applyFont="1" applyFill="1"/>
    <xf numFmtId="0" fontId="29" fillId="0" borderId="0" xfId="2" applyFont="1"/>
    <xf numFmtId="9" fontId="49" fillId="5" borderId="2" xfId="16" applyFont="1" applyFill="1" applyBorder="1"/>
    <xf numFmtId="169" fontId="38" fillId="0" borderId="3" xfId="0" applyNumberFormat="1" applyFont="1" applyBorder="1" applyAlignment="1">
      <alignment horizontal="left" vertical="center"/>
    </xf>
    <xf numFmtId="3" fontId="20" fillId="8" borderId="2" xfId="5" applyNumberFormat="1" applyFont="1" applyFill="1" applyBorder="1"/>
    <xf numFmtId="16" fontId="21" fillId="6" borderId="3" xfId="19" applyNumberFormat="1" applyFont="1" applyFill="1" applyBorder="1"/>
    <xf numFmtId="9" fontId="20" fillId="0" borderId="0" xfId="16" applyFont="1"/>
    <xf numFmtId="2" fontId="21" fillId="9" borderId="0" xfId="19" applyNumberFormat="1" applyFont="1" applyFill="1" applyAlignment="1">
      <alignment horizontal="right"/>
    </xf>
    <xf numFmtId="170" fontId="14" fillId="0" borderId="0" xfId="26" applyNumberFormat="1" applyFont="1"/>
    <xf numFmtId="170" fontId="20" fillId="0" borderId="0" xfId="26" applyNumberFormat="1" applyFont="1"/>
    <xf numFmtId="170" fontId="51" fillId="0" borderId="0" xfId="26" applyNumberFormat="1" applyFont="1" applyFill="1"/>
    <xf numFmtId="170" fontId="20" fillId="0" borderId="0" xfId="26" applyNumberFormat="1" applyFont="1" applyFill="1"/>
    <xf numFmtId="170" fontId="18" fillId="0" borderId="0" xfId="26" applyNumberFormat="1" applyFont="1"/>
    <xf numFmtId="170" fontId="20" fillId="10" borderId="0" xfId="26" applyNumberFormat="1" applyFont="1" applyFill="1" applyBorder="1"/>
    <xf numFmtId="170" fontId="18" fillId="9" borderId="4" xfId="26" applyNumberFormat="1" applyFont="1" applyFill="1" applyBorder="1"/>
    <xf numFmtId="170" fontId="18" fillId="0" borderId="0" xfId="26" applyNumberFormat="1" applyFont="1" applyFill="1" applyBorder="1"/>
    <xf numFmtId="170" fontId="34" fillId="0" borderId="0" xfId="26" applyNumberFormat="1" applyFont="1"/>
    <xf numFmtId="170" fontId="20" fillId="0" borderId="0" xfId="26" applyNumberFormat="1" applyFont="1" applyFill="1" applyBorder="1"/>
    <xf numFmtId="170" fontId="14" fillId="0" borderId="0" xfId="0" applyNumberFormat="1" applyFont="1"/>
    <xf numFmtId="170" fontId="20" fillId="0" borderId="0" xfId="0" applyNumberFormat="1" applyFont="1"/>
    <xf numFmtId="170" fontId="18" fillId="0" borderId="0" xfId="0" applyNumberFormat="1" applyFont="1"/>
    <xf numFmtId="170" fontId="20" fillId="10" borderId="0" xfId="5" applyNumberFormat="1" applyFont="1" applyFill="1" applyBorder="1"/>
    <xf numFmtId="170" fontId="18" fillId="9" borderId="4" xfId="5" applyNumberFormat="1" applyFont="1" applyFill="1" applyBorder="1"/>
    <xf numFmtId="170" fontId="22" fillId="0" borderId="0" xfId="0" applyNumberFormat="1" applyFont="1"/>
    <xf numFmtId="170" fontId="18" fillId="0" borderId="0" xfId="5" applyNumberFormat="1" applyFont="1" applyFill="1" applyBorder="1"/>
    <xf numFmtId="170" fontId="34" fillId="0" borderId="0" xfId="0" applyNumberFormat="1" applyFont="1"/>
    <xf numFmtId="170" fontId="20" fillId="0" borderId="0" xfId="2" applyNumberFormat="1" applyFont="1"/>
    <xf numFmtId="170" fontId="51" fillId="0" borderId="0" xfId="26" applyNumberFormat="1" applyFont="1"/>
    <xf numFmtId="170" fontId="20" fillId="15" borderId="0" xfId="26" applyNumberFormat="1" applyFont="1" applyFill="1" applyBorder="1"/>
    <xf numFmtId="170" fontId="20" fillId="19" borderId="0" xfId="26" applyNumberFormat="1" applyFont="1" applyFill="1" applyBorder="1"/>
    <xf numFmtId="170" fontId="20" fillId="8" borderId="0" xfId="26" applyNumberFormat="1" applyFont="1" applyFill="1" applyBorder="1"/>
    <xf numFmtId="170" fontId="20" fillId="20" borderId="0" xfId="26" applyNumberFormat="1" applyFont="1" applyFill="1"/>
    <xf numFmtId="170" fontId="21" fillId="0" borderId="0" xfId="26" applyNumberFormat="1" applyFont="1" applyAlignment="1">
      <alignment horizontal="right"/>
    </xf>
    <xf numFmtId="170" fontId="21" fillId="0" borderId="0" xfId="26" applyNumberFormat="1" applyFont="1" applyAlignment="1">
      <alignment horizontal="right" indent="1"/>
    </xf>
    <xf numFmtId="170" fontId="21" fillId="20" borderId="0" xfId="26" applyNumberFormat="1" applyFont="1" applyFill="1"/>
    <xf numFmtId="170" fontId="21" fillId="0" borderId="0" xfId="26" applyNumberFormat="1" applyFont="1" applyFill="1"/>
    <xf numFmtId="170" fontId="34" fillId="0" borderId="0" xfId="26" applyNumberFormat="1" applyFont="1" applyFill="1"/>
    <xf numFmtId="170" fontId="21" fillId="17" borderId="0" xfId="26" applyNumberFormat="1" applyFont="1" applyFill="1"/>
    <xf numFmtId="170" fontId="21" fillId="16" borderId="0" xfId="26" applyNumberFormat="1" applyFont="1" applyFill="1"/>
    <xf numFmtId="170" fontId="21" fillId="24" borderId="0" xfId="26" applyNumberFormat="1" applyFont="1" applyFill="1"/>
    <xf numFmtId="170" fontId="21" fillId="0" borderId="0" xfId="26" applyNumberFormat="1" applyFont="1" applyFill="1" applyAlignment="1"/>
    <xf numFmtId="170" fontId="34" fillId="2" borderId="0" xfId="26" applyNumberFormat="1" applyFont="1" applyFill="1"/>
    <xf numFmtId="172" fontId="33" fillId="0" borderId="0" xfId="7" applyNumberFormat="1" applyFont="1"/>
    <xf numFmtId="3" fontId="51" fillId="0" borderId="0" xfId="0" applyNumberFormat="1" applyFont="1" applyAlignment="1">
      <alignment vertical="top"/>
    </xf>
    <xf numFmtId="9" fontId="21" fillId="6" borderId="2" xfId="16" applyFont="1" applyFill="1" applyBorder="1"/>
    <xf numFmtId="10" fontId="35" fillId="0" borderId="0" xfId="16" applyNumberFormat="1" applyFont="1"/>
    <xf numFmtId="176" fontId="52" fillId="0" borderId="0" xfId="0" applyNumberFormat="1" applyFont="1" applyAlignment="1">
      <alignment vertical="center"/>
    </xf>
    <xf numFmtId="38" fontId="21" fillId="2" borderId="0" xfId="2" applyNumberFormat="1" applyFont="1" applyFill="1"/>
    <xf numFmtId="3" fontId="20" fillId="2" borderId="0" xfId="0" applyNumberFormat="1" applyFont="1" applyFill="1"/>
    <xf numFmtId="0" fontId="14" fillId="2" borderId="0" xfId="0" applyFont="1" applyFill="1"/>
    <xf numFmtId="9" fontId="14" fillId="2" borderId="0" xfId="0" applyNumberFormat="1" applyFont="1" applyFill="1"/>
    <xf numFmtId="170" fontId="20" fillId="2" borderId="0" xfId="26" applyNumberFormat="1" applyFont="1" applyFill="1"/>
    <xf numFmtId="177" fontId="14" fillId="0" borderId="0" xfId="0" applyNumberFormat="1" applyFont="1"/>
    <xf numFmtId="0" fontId="20" fillId="0" borderId="0" xfId="0" quotePrefix="1" applyFont="1"/>
    <xf numFmtId="0" fontId="51" fillId="0" borderId="0" xfId="0" applyFont="1"/>
    <xf numFmtId="0" fontId="20" fillId="0" borderId="0" xfId="0" applyFont="1" applyAlignment="1">
      <alignment horizontal="left"/>
    </xf>
    <xf numFmtId="169" fontId="33" fillId="0" borderId="0" xfId="0" applyNumberFormat="1" applyFont="1" applyAlignment="1">
      <alignment horizontal="left"/>
    </xf>
    <xf numFmtId="3" fontId="20" fillId="0" borderId="0" xfId="0" applyNumberFormat="1" applyFont="1" applyAlignment="1">
      <alignment horizontal="left"/>
    </xf>
    <xf numFmtId="4" fontId="20" fillId="0" borderId="0" xfId="0" applyNumberFormat="1" applyFont="1"/>
    <xf numFmtId="38" fontId="21" fillId="2" borderId="0" xfId="2" applyNumberFormat="1" applyFont="1" applyFill="1" applyAlignment="1">
      <alignment wrapText="1"/>
    </xf>
    <xf numFmtId="170" fontId="34" fillId="0" borderId="0" xfId="26" applyNumberFormat="1" applyFont="1" applyAlignment="1">
      <alignment horizontal="left"/>
    </xf>
    <xf numFmtId="3" fontId="20" fillId="15" borderId="0" xfId="5" applyNumberFormat="1" applyFont="1" applyFill="1"/>
    <xf numFmtId="4" fontId="20" fillId="0" borderId="0" xfId="7" applyNumberFormat="1" applyFont="1"/>
    <xf numFmtId="4" fontId="18" fillId="3" borderId="4" xfId="5" applyNumberFormat="1" applyFont="1" applyFill="1" applyBorder="1"/>
    <xf numFmtId="165" fontId="9" fillId="0" borderId="0" xfId="2" applyNumberFormat="1"/>
    <xf numFmtId="165" fontId="1" fillId="0" borderId="0" xfId="2" applyNumberFormat="1" applyFont="1"/>
    <xf numFmtId="4" fontId="9" fillId="0" borderId="0" xfId="2" applyNumberFormat="1"/>
    <xf numFmtId="0" fontId="1" fillId="0" borderId="0" xfId="2" applyFont="1"/>
    <xf numFmtId="0" fontId="9" fillId="0" borderId="7" xfId="2" applyBorder="1"/>
    <xf numFmtId="165" fontId="1" fillId="0" borderId="7" xfId="2" applyNumberFormat="1" applyFont="1" applyBorder="1"/>
    <xf numFmtId="2" fontId="9" fillId="0" borderId="0" xfId="2" applyNumberFormat="1"/>
    <xf numFmtId="2" fontId="1" fillId="0" borderId="0" xfId="2" applyNumberFormat="1" applyFont="1"/>
    <xf numFmtId="4" fontId="33" fillId="0" borderId="0" xfId="7" applyNumberFormat="1" applyFont="1"/>
    <xf numFmtId="165" fontId="17" fillId="0" borderId="0" xfId="19" applyNumberFormat="1" applyFont="1"/>
    <xf numFmtId="172" fontId="20" fillId="0" borderId="0" xfId="7" applyNumberFormat="1" applyFont="1"/>
    <xf numFmtId="165" fontId="18" fillId="0" borderId="0" xfId="7" applyNumberFormat="1" applyFont="1"/>
    <xf numFmtId="3" fontId="20" fillId="19" borderId="0" xfId="5" applyNumberFormat="1" applyFont="1" applyFill="1"/>
    <xf numFmtId="38" fontId="21" fillId="20" borderId="0" xfId="2" applyNumberFormat="1" applyFont="1" applyFill="1" applyAlignment="1">
      <alignment wrapText="1"/>
    </xf>
    <xf numFmtId="178" fontId="18" fillId="0" borderId="4" xfId="7" applyNumberFormat="1" applyFont="1" applyBorder="1"/>
    <xf numFmtId="178" fontId="29" fillId="0" borderId="0" xfId="19" applyNumberFormat="1" applyFont="1"/>
    <xf numFmtId="3" fontId="1" fillId="0" borderId="0" xfId="2" applyNumberFormat="1" applyFont="1"/>
    <xf numFmtId="0" fontId="20" fillId="3" borderId="10" xfId="0" applyFont="1" applyFill="1" applyBorder="1"/>
    <xf numFmtId="0" fontId="18" fillId="3" borderId="10" xfId="0" applyFont="1" applyFill="1" applyBorder="1"/>
    <xf numFmtId="3" fontId="18" fillId="3" borderId="10" xfId="0" applyNumberFormat="1" applyFont="1" applyFill="1" applyBorder="1" applyAlignment="1">
      <alignment horizontal="center"/>
    </xf>
    <xf numFmtId="170" fontId="18" fillId="14" borderId="10" xfId="0" applyNumberFormat="1" applyFont="1" applyFill="1" applyBorder="1" applyAlignment="1">
      <alignment horizontal="center"/>
    </xf>
    <xf numFmtId="3" fontId="18" fillId="14" borderId="10" xfId="0" applyNumberFormat="1" applyFont="1" applyFill="1" applyBorder="1" applyAlignment="1">
      <alignment horizontal="center"/>
    </xf>
    <xf numFmtId="170" fontId="18" fillId="14" borderId="10" xfId="26" applyNumberFormat="1" applyFont="1" applyFill="1" applyBorder="1" applyAlignment="1">
      <alignment horizontal="center"/>
    </xf>
    <xf numFmtId="3" fontId="18" fillId="12" borderId="10" xfId="0" applyNumberFormat="1" applyFont="1" applyFill="1" applyBorder="1" applyAlignment="1">
      <alignment horizontal="center"/>
    </xf>
    <xf numFmtId="0" fontId="14" fillId="8" borderId="11" xfId="0" applyFont="1" applyFill="1" applyBorder="1"/>
    <xf numFmtId="0" fontId="18" fillId="8" borderId="11" xfId="0" applyFont="1" applyFill="1" applyBorder="1"/>
    <xf numFmtId="38" fontId="24" fillId="8" borderId="11" xfId="0" applyNumberFormat="1" applyFont="1" applyFill="1" applyBorder="1"/>
    <xf numFmtId="3" fontId="18" fillId="13" borderId="10" xfId="0" applyNumberFormat="1" applyFont="1" applyFill="1" applyBorder="1" applyAlignment="1">
      <alignment horizontal="center"/>
    </xf>
    <xf numFmtId="0" fontId="16" fillId="18" borderId="8" xfId="0" applyFont="1" applyFill="1" applyBorder="1"/>
    <xf numFmtId="0" fontId="18" fillId="18" borderId="8" xfId="0" applyFont="1" applyFill="1" applyBorder="1"/>
    <xf numFmtId="3" fontId="18" fillId="18" borderId="10" xfId="0" applyNumberFormat="1" applyFont="1" applyFill="1" applyBorder="1" applyAlignment="1">
      <alignment horizontal="center"/>
    </xf>
    <xf numFmtId="1" fontId="28" fillId="14" borderId="8" xfId="19" applyNumberFormat="1" applyFont="1" applyFill="1" applyBorder="1" applyAlignment="1">
      <alignment horizontal="left" vertical="center"/>
    </xf>
    <xf numFmtId="0" fontId="32" fillId="14" borderId="8" xfId="19" applyFont="1" applyFill="1" applyBorder="1"/>
    <xf numFmtId="3" fontId="32" fillId="14" borderId="8" xfId="19" applyNumberFormat="1" applyFont="1" applyFill="1" applyBorder="1"/>
    <xf numFmtId="2" fontId="21" fillId="14" borderId="8" xfId="19" applyNumberFormat="1" applyFont="1" applyFill="1" applyBorder="1"/>
    <xf numFmtId="0" fontId="32" fillId="14" borderId="8" xfId="19" applyFont="1" applyFill="1" applyBorder="1" applyAlignment="1">
      <alignment horizontal="left"/>
    </xf>
    <xf numFmtId="0" fontId="32" fillId="14" borderId="9" xfId="19" applyFont="1" applyFill="1" applyBorder="1" applyAlignment="1">
      <alignment horizontal="left"/>
    </xf>
    <xf numFmtId="0" fontId="21" fillId="5" borderId="12" xfId="19" applyFont="1" applyFill="1" applyBorder="1"/>
    <xf numFmtId="1" fontId="28" fillId="13" borderId="8" xfId="19" applyNumberFormat="1" applyFont="1" applyFill="1" applyBorder="1" applyAlignment="1">
      <alignment horizontal="left" vertical="center"/>
    </xf>
    <xf numFmtId="0" fontId="32" fillId="13" borderId="8" xfId="19" applyFont="1" applyFill="1" applyBorder="1"/>
    <xf numFmtId="3" fontId="32" fillId="13" borderId="8" xfId="19" applyNumberFormat="1" applyFont="1" applyFill="1" applyBorder="1"/>
    <xf numFmtId="0" fontId="21" fillId="13" borderId="8" xfId="19" applyFont="1" applyFill="1" applyBorder="1"/>
    <xf numFmtId="0" fontId="32" fillId="13" borderId="8" xfId="19" applyFont="1" applyFill="1" applyBorder="1" applyAlignment="1">
      <alignment horizontal="left"/>
    </xf>
    <xf numFmtId="0" fontId="32" fillId="13" borderId="9" xfId="19" applyFont="1" applyFill="1" applyBorder="1" applyAlignment="1">
      <alignment horizontal="left"/>
    </xf>
    <xf numFmtId="0" fontId="21" fillId="7" borderId="12" xfId="19" applyFont="1" applyFill="1" applyBorder="1"/>
    <xf numFmtId="1" fontId="28" fillId="12" borderId="8" xfId="19" applyNumberFormat="1" applyFont="1" applyFill="1" applyBorder="1" applyAlignment="1">
      <alignment horizontal="left"/>
    </xf>
    <xf numFmtId="2" fontId="17" fillId="12" borderId="8" xfId="19" applyNumberFormat="1" applyFont="1" applyFill="1" applyBorder="1"/>
    <xf numFmtId="0" fontId="32" fillId="12" borderId="8" xfId="19" applyFont="1" applyFill="1" applyBorder="1"/>
    <xf numFmtId="3" fontId="32" fillId="12" borderId="8" xfId="19" applyNumberFormat="1" applyFont="1" applyFill="1" applyBorder="1"/>
    <xf numFmtId="0" fontId="21" fillId="12" borderId="8" xfId="19" applyFont="1" applyFill="1" applyBorder="1"/>
    <xf numFmtId="3" fontId="21" fillId="12" borderId="9" xfId="19" applyNumberFormat="1" applyFont="1" applyFill="1" applyBorder="1"/>
    <xf numFmtId="0" fontId="21" fillId="6" borderId="12" xfId="19" applyFont="1" applyFill="1" applyBorder="1"/>
    <xf numFmtId="1" fontId="28" fillId="18" borderId="8" xfId="19" applyNumberFormat="1" applyFont="1" applyFill="1" applyBorder="1" applyAlignment="1">
      <alignment horizontal="left"/>
    </xf>
    <xf numFmtId="2" fontId="17" fillId="18" borderId="8" xfId="19" applyNumberFormat="1" applyFont="1" applyFill="1" applyBorder="1"/>
    <xf numFmtId="0" fontId="32" fillId="18" borderId="8" xfId="19" applyFont="1" applyFill="1" applyBorder="1"/>
    <xf numFmtId="3" fontId="32" fillId="18" borderId="8" xfId="19" applyNumberFormat="1" applyFont="1" applyFill="1" applyBorder="1"/>
    <xf numFmtId="0" fontId="21" fillId="18" borderId="8" xfId="19" applyFont="1" applyFill="1" applyBorder="1"/>
    <xf numFmtId="3" fontId="21" fillId="18" borderId="9" xfId="19" applyNumberFormat="1" applyFont="1" applyFill="1" applyBorder="1"/>
    <xf numFmtId="9" fontId="29" fillId="9" borderId="13" xfId="16" applyFont="1" applyFill="1" applyBorder="1"/>
    <xf numFmtId="0" fontId="28" fillId="8" borderId="8" xfId="19" applyFont="1" applyFill="1" applyBorder="1"/>
    <xf numFmtId="1" fontId="17" fillId="4" borderId="8" xfId="19" applyNumberFormat="1" applyFont="1" applyFill="1" applyBorder="1"/>
    <xf numFmtId="0" fontId="18" fillId="4" borderId="8" xfId="0" applyFont="1" applyFill="1" applyBorder="1"/>
    <xf numFmtId="169" fontId="18" fillId="3" borderId="14" xfId="0" applyNumberFormat="1" applyFont="1" applyFill="1" applyBorder="1"/>
    <xf numFmtId="169" fontId="18" fillId="14" borderId="14" xfId="0" applyNumberFormat="1" applyFont="1" applyFill="1" applyBorder="1"/>
    <xf numFmtId="169" fontId="20" fillId="14" borderId="14" xfId="0" applyNumberFormat="1" applyFont="1" applyFill="1" applyBorder="1"/>
    <xf numFmtId="169" fontId="18" fillId="14" borderId="14" xfId="0" applyNumberFormat="1" applyFont="1" applyFill="1" applyBorder="1" applyAlignment="1">
      <alignment horizontal="right" vertical="center"/>
    </xf>
    <xf numFmtId="169" fontId="18" fillId="13" borderId="14" xfId="0" applyNumberFormat="1" applyFont="1" applyFill="1" applyBorder="1"/>
    <xf numFmtId="169" fontId="18" fillId="12" borderId="14" xfId="0" applyNumberFormat="1" applyFont="1" applyFill="1" applyBorder="1"/>
    <xf numFmtId="169" fontId="20" fillId="12" borderId="14" xfId="0" applyNumberFormat="1" applyFont="1" applyFill="1" applyBorder="1"/>
    <xf numFmtId="169" fontId="18" fillId="12" borderId="14" xfId="0" applyNumberFormat="1" applyFont="1" applyFill="1" applyBorder="1" applyAlignment="1">
      <alignment horizontal="right" vertical="center"/>
    </xf>
    <xf numFmtId="169" fontId="18" fillId="18" borderId="14" xfId="0" applyNumberFormat="1" applyFont="1" applyFill="1" applyBorder="1"/>
    <xf numFmtId="169" fontId="20" fillId="18" borderId="14" xfId="0" applyNumberFormat="1" applyFont="1" applyFill="1" applyBorder="1"/>
    <xf numFmtId="169" fontId="18" fillId="18" borderId="14" xfId="0" applyNumberFormat="1" applyFont="1" applyFill="1" applyBorder="1" applyAlignment="1">
      <alignment horizontal="right" vertical="center"/>
    </xf>
    <xf numFmtId="169" fontId="44" fillId="0" borderId="15" xfId="0" applyNumberFormat="1" applyFont="1" applyBorder="1" applyAlignment="1">
      <alignment horizontal="left" vertical="center"/>
    </xf>
    <xf numFmtId="14" fontId="44" fillId="0" borderId="14" xfId="0" applyNumberFormat="1" applyFont="1" applyBorder="1" applyAlignment="1">
      <alignment horizontal="center" vertical="top" wrapText="1"/>
    </xf>
    <xf numFmtId="14" fontId="44" fillId="0" borderId="16" xfId="0" applyNumberFormat="1" applyFont="1" applyBorder="1" applyAlignment="1">
      <alignment horizontal="center" vertical="top" wrapText="1"/>
    </xf>
    <xf numFmtId="3" fontId="51" fillId="0" borderId="17" xfId="0" applyNumberFormat="1" applyFont="1" applyBorder="1" applyAlignment="1">
      <alignment vertical="top"/>
    </xf>
    <xf numFmtId="38" fontId="44" fillId="0" borderId="14" xfId="5" applyNumberFormat="1" applyFont="1" applyFill="1" applyBorder="1" applyAlignment="1" applyProtection="1">
      <alignment horizontal="right" vertical="top"/>
    </xf>
    <xf numFmtId="38" fontId="44" fillId="0" borderId="16" xfId="5" applyNumberFormat="1" applyFont="1" applyFill="1" applyBorder="1" applyAlignment="1" applyProtection="1">
      <alignment horizontal="right" vertical="top"/>
    </xf>
    <xf numFmtId="16" fontId="20" fillId="3" borderId="14" xfId="0" applyNumberFormat="1" applyFont="1" applyFill="1" applyBorder="1"/>
    <xf numFmtId="0" fontId="20" fillId="3" borderId="14" xfId="0" applyFont="1" applyFill="1" applyBorder="1"/>
    <xf numFmtId="0" fontId="18" fillId="3" borderId="14" xfId="0" applyFont="1" applyFill="1" applyBorder="1"/>
    <xf numFmtId="16" fontId="18" fillId="14" borderId="14" xfId="0" applyNumberFormat="1" applyFont="1" applyFill="1" applyBorder="1"/>
    <xf numFmtId="0" fontId="18" fillId="14" borderId="14" xfId="0" applyFont="1" applyFill="1" applyBorder="1"/>
    <xf numFmtId="0" fontId="18" fillId="14" borderId="14" xfId="0" applyFont="1" applyFill="1" applyBorder="1" applyAlignment="1">
      <alignment horizontal="right"/>
    </xf>
    <xf numFmtId="0" fontId="20" fillId="14" borderId="14" xfId="0" applyFont="1" applyFill="1" applyBorder="1"/>
    <xf numFmtId="3" fontId="18" fillId="14" borderId="14" xfId="0" applyNumberFormat="1" applyFont="1" applyFill="1" applyBorder="1" applyAlignment="1">
      <alignment horizontal="center"/>
    </xf>
    <xf numFmtId="0" fontId="20" fillId="13" borderId="14" xfId="0" applyFont="1" applyFill="1" applyBorder="1"/>
    <xf numFmtId="0" fontId="18" fillId="13" borderId="14" xfId="0" applyFont="1" applyFill="1" applyBorder="1"/>
    <xf numFmtId="0" fontId="16" fillId="13" borderId="14" xfId="0" applyFont="1" applyFill="1" applyBorder="1"/>
    <xf numFmtId="0" fontId="18" fillId="12" borderId="14" xfId="0" applyFont="1" applyFill="1" applyBorder="1"/>
    <xf numFmtId="0" fontId="18" fillId="8" borderId="12" xfId="0" applyFont="1" applyFill="1" applyBorder="1"/>
    <xf numFmtId="0" fontId="14" fillId="8" borderId="13" xfId="0" applyFont="1" applyFill="1" applyBorder="1"/>
    <xf numFmtId="0" fontId="16" fillId="18" borderId="14" xfId="0" applyFont="1" applyFill="1" applyBorder="1"/>
    <xf numFmtId="0" fontId="18" fillId="18" borderId="14" xfId="0" applyFont="1" applyFill="1" applyBorder="1"/>
    <xf numFmtId="3" fontId="18" fillId="18" borderId="18" xfId="0" applyNumberFormat="1" applyFont="1" applyFill="1" applyBorder="1" applyAlignment="1">
      <alignment horizontal="center"/>
    </xf>
    <xf numFmtId="3" fontId="45" fillId="8" borderId="18" xfId="0" applyNumberFormat="1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3" fontId="18" fillId="4" borderId="18" xfId="0" applyNumberFormat="1" applyFont="1" applyFill="1" applyBorder="1" applyAlignment="1">
      <alignment horizontal="center"/>
    </xf>
    <xf numFmtId="179" fontId="1" fillId="0" borderId="0" xfId="2" applyNumberFormat="1" applyFont="1"/>
  </cellXfs>
  <cellStyles count="27">
    <cellStyle name="Benyttet hyperkobling" xfId="11" builtinId="9" hidden="1"/>
    <cellStyle name="Benyttet hyperkobling" xfId="13" builtinId="9" hidden="1"/>
    <cellStyle name="Benyttet hyperkobling" xfId="15" builtinId="9" hidden="1"/>
    <cellStyle name="Hyperkobling" xfId="10" builtinId="8" hidden="1"/>
    <cellStyle name="Hyperkobling" xfId="12" builtinId="8" hidden="1"/>
    <cellStyle name="Hyperkobling" xfId="14" builtinId="8" hidden="1"/>
    <cellStyle name="Komma" xfId="26" builtinId="3"/>
    <cellStyle name="Komma 2" xfId="1" xr:uid="{00000000-0005-0000-0000-000006000000}"/>
    <cellStyle name="Komma 2 2" xfId="9" xr:uid="{00000000-0005-0000-0000-000007000000}"/>
    <cellStyle name="Komma 2 3" xfId="17" xr:uid="{3342BA57-0A0B-459F-BAA8-E9113F738D0B}"/>
    <cellStyle name="Komma 2 4" xfId="24" xr:uid="{5C9DEF04-1C0F-4EC5-BA90-2C603AA04E7F}"/>
    <cellStyle name="Komma 3" xfId="21" xr:uid="{2AC606B4-46E5-4E31-B19C-BB7E1B6F43C6}"/>
    <cellStyle name="Normal" xfId="0" builtinId="0"/>
    <cellStyle name="Normal 2" xfId="2" xr:uid="{00000000-0005-0000-0000-000009000000}"/>
    <cellStyle name="Normal 2 2" xfId="3" xr:uid="{00000000-0005-0000-0000-00000A000000}"/>
    <cellStyle name="Normal 2 3" xfId="7" xr:uid="{00000000-0005-0000-0000-00000B000000}"/>
    <cellStyle name="Normal 2 4" xfId="18" xr:uid="{7771AF03-A9E7-4BD8-8DE5-52F6E1995337}"/>
    <cellStyle name="Normal 2 5" xfId="22" xr:uid="{EB2040FF-9833-4167-A43C-2CDC8582D36C}"/>
    <cellStyle name="Normal 3" xfId="19" xr:uid="{018CDEF2-3FA9-4D19-9B71-DBA2B350C835}"/>
    <cellStyle name="Normal 4" xfId="6" xr:uid="{00000000-0005-0000-0000-00000C000000}"/>
    <cellStyle name="Normal 5" xfId="25" xr:uid="{048B90A6-B6FD-4AE6-A0FA-E411E4FB8BC5}"/>
    <cellStyle name="Prosent" xfId="16" builtinId="5"/>
    <cellStyle name="Prosent 2" xfId="4" xr:uid="{00000000-0005-0000-0000-00000E000000}"/>
    <cellStyle name="Prosent 2 2" xfId="23" xr:uid="{5B67CE94-AC67-49AD-884A-7BB6A16E296A}"/>
    <cellStyle name="Prosent 3" xfId="20" xr:uid="{BD175215-9E8D-46C1-93E1-05BE2D1DAC38}"/>
    <cellStyle name="Valuta" xfId="5" builtinId="4"/>
    <cellStyle name="Valuta 2" xfId="8" xr:uid="{00000000-0005-0000-0000-000010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  <color rgb="FFEEF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2" tint="-9.9978637043366805E-2"/>
    <pageSetUpPr fitToPage="1"/>
  </sheetPr>
  <dimension ref="A3:H81"/>
  <sheetViews>
    <sheetView showGridLines="0" topLeftCell="A20" zoomScaleNormal="110" zoomScaleSheetLayoutView="100" workbookViewId="0">
      <selection activeCell="E15" sqref="E15"/>
    </sheetView>
  </sheetViews>
  <sheetFormatPr baseColWidth="10" defaultColWidth="10.85546875" defaultRowHeight="15.75"/>
  <cols>
    <col min="1" max="1" width="11.7109375" style="38" customWidth="1"/>
    <col min="2" max="2" width="5.28515625" style="38" customWidth="1"/>
    <col min="3" max="3" width="65.85546875" style="38" bestFit="1" customWidth="1"/>
    <col min="4" max="5" width="25.28515625" style="29" customWidth="1"/>
    <col min="6" max="7" width="25.28515625" style="38" customWidth="1"/>
    <col min="8" max="8" width="23.85546875" style="38" customWidth="1"/>
    <col min="9" max="9" width="108.5703125" style="38" bestFit="1" customWidth="1"/>
    <col min="10" max="16384" width="10.85546875" style="38"/>
  </cols>
  <sheetData>
    <row r="3" spans="1:6" ht="23.25">
      <c r="B3" s="39" t="s">
        <v>0</v>
      </c>
    </row>
    <row r="4" spans="1:6" ht="15" customHeight="1">
      <c r="A4" s="39"/>
    </row>
    <row r="5" spans="1:6" ht="23.25">
      <c r="A5" s="39"/>
      <c r="B5" s="40" t="s">
        <v>1</v>
      </c>
      <c r="C5" s="40"/>
      <c r="D5" s="31"/>
      <c r="E5" s="31"/>
    </row>
    <row r="6" spans="1:6" ht="23.25">
      <c r="A6" s="39"/>
      <c r="D6" s="31"/>
      <c r="E6" s="31"/>
    </row>
    <row r="7" spans="1:6" s="43" customFormat="1" ht="21">
      <c r="A7" s="41"/>
      <c r="B7" s="42" t="s">
        <v>2</v>
      </c>
      <c r="C7" s="42"/>
      <c r="D7" s="31"/>
      <c r="E7" s="31"/>
    </row>
    <row r="8" spans="1:6" s="31" customFormat="1" ht="18">
      <c r="A8" s="44"/>
      <c r="B8" s="44"/>
      <c r="C8" s="44"/>
      <c r="D8" s="220" t="s">
        <v>3</v>
      </c>
      <c r="E8" s="220" t="s">
        <v>4</v>
      </c>
      <c r="F8" s="221" t="s">
        <v>5</v>
      </c>
    </row>
    <row r="9" spans="1:6" s="31" customFormat="1" ht="16.5">
      <c r="A9" s="45"/>
      <c r="B9" s="360" t="s">
        <v>6</v>
      </c>
      <c r="C9" s="360"/>
      <c r="D9" s="360">
        <f>Inntekter!D7</f>
        <v>1165800</v>
      </c>
      <c r="E9" s="360">
        <f>Inntekter!E7</f>
        <v>1211200</v>
      </c>
      <c r="F9" s="360">
        <f>Inntekter!F7</f>
        <v>1160000</v>
      </c>
    </row>
    <row r="10" spans="1:6" s="31" customFormat="1" ht="11.25" customHeight="1">
      <c r="A10" s="45"/>
      <c r="B10" s="46"/>
      <c r="C10" s="35"/>
      <c r="D10" s="47"/>
    </row>
    <row r="11" spans="1:6" s="31" customFormat="1" ht="16.5">
      <c r="A11" s="45"/>
      <c r="B11" s="360" t="s">
        <v>7</v>
      </c>
      <c r="C11" s="360"/>
      <c r="D11" s="360">
        <f>SUM(D12:D15)</f>
        <v>21010958.389999997</v>
      </c>
      <c r="E11" s="360">
        <f>SUM(E12:E15)</f>
        <v>22210908.620000001</v>
      </c>
      <c r="F11" s="360">
        <f>SUM(F12:F15)</f>
        <v>23345661</v>
      </c>
    </row>
    <row r="12" spans="1:6" s="31" customFormat="1" ht="16.5">
      <c r="A12" s="45"/>
      <c r="B12" s="46" t="s">
        <v>8</v>
      </c>
      <c r="C12" s="35" t="s">
        <v>9</v>
      </c>
      <c r="D12" s="47">
        <f>Inntekter!D16</f>
        <v>10010954</v>
      </c>
      <c r="E12" s="47">
        <f>Inntekter!E16</f>
        <v>10582269</v>
      </c>
      <c r="F12" s="47">
        <f>Inntekter!F16</f>
        <v>10460429</v>
      </c>
    </row>
    <row r="13" spans="1:6" s="31" customFormat="1" ht="16.5">
      <c r="A13" s="45"/>
      <c r="B13" s="46" t="s">
        <v>10</v>
      </c>
      <c r="C13" s="35" t="s">
        <v>11</v>
      </c>
      <c r="D13" s="47">
        <f>Inntekter!D26</f>
        <v>2464392.85</v>
      </c>
      <c r="E13" s="47">
        <f>Inntekter!E26</f>
        <v>2613634.5300000003</v>
      </c>
      <c r="F13" s="47">
        <f>Inntekter!F26</f>
        <v>3485769</v>
      </c>
    </row>
    <row r="14" spans="1:6" s="31" customFormat="1" ht="16.5">
      <c r="A14" s="45"/>
      <c r="B14" s="46" t="s">
        <v>12</v>
      </c>
      <c r="C14" s="35" t="s">
        <v>13</v>
      </c>
      <c r="D14" s="47">
        <f>Inntekter!D34</f>
        <v>7097495.7300000004</v>
      </c>
      <c r="E14" s="47">
        <f>Inntekter!E34</f>
        <v>7549490.1299999999</v>
      </c>
      <c r="F14" s="47">
        <f>Inntekter!F34</f>
        <v>7468000</v>
      </c>
    </row>
    <row r="15" spans="1:6" s="31" customFormat="1" ht="16.5">
      <c r="A15" s="45"/>
      <c r="B15" s="46" t="s">
        <v>14</v>
      </c>
      <c r="C15" s="35" t="s">
        <v>15</v>
      </c>
      <c r="D15" s="47">
        <f>Inntekter!D46</f>
        <v>1438115.8099999998</v>
      </c>
      <c r="E15" s="47">
        <f>Inntekter!E46</f>
        <v>1465514.96</v>
      </c>
      <c r="F15" s="47">
        <f>Inntekter!F46</f>
        <v>1931463</v>
      </c>
    </row>
    <row r="16" spans="1:6" s="31" customFormat="1" ht="11.25" customHeight="1">
      <c r="A16" s="45"/>
      <c r="B16" s="46"/>
      <c r="C16" s="35"/>
      <c r="D16" s="47"/>
    </row>
    <row r="17" spans="1:6" s="31" customFormat="1" ht="16.5">
      <c r="A17" s="45"/>
      <c r="B17" s="360" t="s">
        <v>16</v>
      </c>
      <c r="C17" s="360"/>
      <c r="D17" s="360">
        <f>SUM(D18:D19)</f>
        <v>107563.8</v>
      </c>
      <c r="E17" s="360">
        <f>SUM(E18:E19)</f>
        <v>274717.55</v>
      </c>
      <c r="F17" s="360">
        <f>SUM(F18:F19)</f>
        <v>310000</v>
      </c>
    </row>
    <row r="18" spans="1:6" s="31" customFormat="1" ht="16.5">
      <c r="A18" s="45"/>
      <c r="B18" s="46" t="s">
        <v>17</v>
      </c>
      <c r="C18" s="35" t="s">
        <v>18</v>
      </c>
      <c r="D18" s="47">
        <f>Inntekter!D54</f>
        <v>100563.8</v>
      </c>
      <c r="E18" s="47">
        <f>Inntekter!E54</f>
        <v>62907.75</v>
      </c>
      <c r="F18" s="47">
        <f>Inntekter!F54</f>
        <v>85000</v>
      </c>
    </row>
    <row r="19" spans="1:6" s="31" customFormat="1" ht="16.5">
      <c r="A19" s="45"/>
      <c r="B19" s="46" t="s">
        <v>19</v>
      </c>
      <c r="C19" s="35" t="s">
        <v>20</v>
      </c>
      <c r="D19" s="47">
        <f>Inntekter!D58</f>
        <v>7000</v>
      </c>
      <c r="E19" s="47">
        <f>Inntekter!E58</f>
        <v>211809.8</v>
      </c>
      <c r="F19" s="47">
        <f>Inntekter!F58</f>
        <v>225000</v>
      </c>
    </row>
    <row r="20" spans="1:6" s="31" customFormat="1" ht="11.25" customHeight="1">
      <c r="A20" s="45"/>
      <c r="B20" s="46"/>
      <c r="C20" s="35"/>
      <c r="D20" s="47"/>
    </row>
    <row r="21" spans="1:6" s="31" customFormat="1" ht="16.5">
      <c r="A21" s="45"/>
      <c r="B21" s="360" t="s">
        <v>21</v>
      </c>
      <c r="C21" s="360"/>
      <c r="D21" s="360">
        <f>Inntekter!D67</f>
        <v>517696.78</v>
      </c>
      <c r="E21" s="360">
        <f>Inntekter!E67</f>
        <v>524747.05000000005</v>
      </c>
      <c r="F21" s="360">
        <f>Inntekter!F67</f>
        <v>520000</v>
      </c>
    </row>
    <row r="22" spans="1:6" s="31" customFormat="1" ht="11.25" customHeight="1">
      <c r="A22" s="45"/>
      <c r="B22" s="46"/>
      <c r="C22" s="48"/>
      <c r="D22" s="35"/>
    </row>
    <row r="23" spans="1:6" s="31" customFormat="1" ht="16.5">
      <c r="A23" s="45"/>
      <c r="B23" s="360" t="s">
        <v>22</v>
      </c>
      <c r="C23" s="360"/>
      <c r="D23" s="360">
        <f>Inntekter!D73</f>
        <v>0</v>
      </c>
      <c r="E23" s="360">
        <f>Inntekter!E73</f>
        <v>149837.1</v>
      </c>
      <c r="F23" s="360">
        <f>Inntekter!F73</f>
        <v>10000</v>
      </c>
    </row>
    <row r="24" spans="1:6" s="31" customFormat="1" ht="15" customHeight="1"/>
    <row r="25" spans="1:6" s="43" customFormat="1" ht="18.75" thickBot="1">
      <c r="A25" s="49"/>
      <c r="B25" s="50" t="s">
        <v>23</v>
      </c>
      <c r="C25" s="50"/>
      <c r="D25" s="51">
        <f>D9+D11+D17+D21+D23</f>
        <v>22802018.969999999</v>
      </c>
      <c r="E25" s="51">
        <f>E9+E11+E17+E21+E23</f>
        <v>24371410.320000004</v>
      </c>
      <c r="F25" s="51">
        <f>F9+F11+F17+F21+F23</f>
        <v>25345661</v>
      </c>
    </row>
    <row r="26" spans="1:6" s="29" customFormat="1" ht="10.5" customHeight="1">
      <c r="A26" s="52"/>
      <c r="B26" s="52"/>
      <c r="C26" s="52"/>
      <c r="D26" s="53"/>
      <c r="E26" s="53"/>
    </row>
    <row r="27" spans="1:6" s="29" customFormat="1" ht="21">
      <c r="A27" s="52"/>
      <c r="B27" s="42" t="s">
        <v>24</v>
      </c>
      <c r="C27" s="42"/>
      <c r="D27" s="53"/>
      <c r="E27" s="53"/>
    </row>
    <row r="28" spans="1:6" s="29" customFormat="1" ht="21">
      <c r="A28" s="52"/>
      <c r="B28" s="54" t="s">
        <v>25</v>
      </c>
      <c r="C28" s="42"/>
      <c r="D28" s="53"/>
      <c r="E28" s="53"/>
    </row>
    <row r="29" spans="1:6" s="31" customFormat="1" ht="18">
      <c r="A29" s="44"/>
      <c r="B29" s="44"/>
      <c r="C29" s="44"/>
      <c r="D29" s="220" t="str">
        <f>D$8</f>
        <v>Rekneskap 2024</v>
      </c>
      <c r="E29" s="220" t="str">
        <f>E$8</f>
        <v>Regnskap 2025</v>
      </c>
      <c r="F29" s="220" t="str">
        <f>F$8</f>
        <v>Budsjett 2025 rev. 2</v>
      </c>
    </row>
    <row r="30" spans="1:6" s="29" customFormat="1" ht="16.5">
      <c r="A30" s="52"/>
      <c r="B30" s="361" t="s">
        <v>26</v>
      </c>
      <c r="C30" s="362"/>
      <c r="D30" s="363">
        <f>SUM(D31:D38)</f>
        <v>4926645.4772246117</v>
      </c>
      <c r="E30" s="363">
        <f>SUM(E31:E38)</f>
        <v>5533832.3199999994</v>
      </c>
      <c r="F30" s="363">
        <f>SUM(F31:F38)</f>
        <v>5880019</v>
      </c>
    </row>
    <row r="31" spans="1:6" s="29" customFormat="1" ht="16.5">
      <c r="A31" s="52"/>
      <c r="B31" s="168" t="s">
        <v>27</v>
      </c>
      <c r="C31" s="169" t="s">
        <v>28</v>
      </c>
      <c r="D31" s="170">
        <f>Kompetanse!D16</f>
        <v>1654288.6372246114</v>
      </c>
      <c r="E31" s="170">
        <f>Kompetanse!E16</f>
        <v>1596991.6299999997</v>
      </c>
      <c r="F31" s="170">
        <f>Kompetanse!F16</f>
        <v>2002000</v>
      </c>
    </row>
    <row r="32" spans="1:6" s="29" customFormat="1" ht="16.5">
      <c r="A32" s="52"/>
      <c r="B32" s="168" t="s">
        <v>29</v>
      </c>
      <c r="C32" s="169" t="s">
        <v>30</v>
      </c>
      <c r="D32" s="170">
        <f>Kompetanse!D31</f>
        <v>552319.61</v>
      </c>
      <c r="E32" s="170">
        <f>Kompetanse!E31</f>
        <v>1418272.66</v>
      </c>
      <c r="F32" s="170">
        <f>Kompetanse!F31</f>
        <v>1083680</v>
      </c>
    </row>
    <row r="33" spans="1:6" s="29" customFormat="1" ht="16.5">
      <c r="A33" s="52"/>
      <c r="B33" s="168" t="s">
        <v>31</v>
      </c>
      <c r="C33" s="169" t="s">
        <v>32</v>
      </c>
      <c r="D33" s="170">
        <f>Kompetanse!D50</f>
        <v>723781.99</v>
      </c>
      <c r="E33" s="170">
        <f>Kompetanse!E50</f>
        <v>700047.64999999991</v>
      </c>
      <c r="F33" s="170">
        <f>Kompetanse!F50</f>
        <v>1100000</v>
      </c>
    </row>
    <row r="34" spans="1:6" s="29" customFormat="1" ht="16.5">
      <c r="A34" s="52"/>
      <c r="B34" s="168" t="s">
        <v>33</v>
      </c>
      <c r="C34" s="169" t="s">
        <v>34</v>
      </c>
      <c r="D34" s="170">
        <f>Kompetanse!D65</f>
        <v>170995.92</v>
      </c>
      <c r="E34" s="170">
        <f>Kompetanse!E65</f>
        <v>838222.07</v>
      </c>
      <c r="F34" s="170">
        <f>Kompetanse!F65</f>
        <v>749004</v>
      </c>
    </row>
    <row r="35" spans="1:6" s="29" customFormat="1" ht="16.5">
      <c r="A35" s="52"/>
      <c r="B35" s="168" t="s">
        <v>35</v>
      </c>
      <c r="C35" s="169" t="s">
        <v>36</v>
      </c>
      <c r="D35" s="170">
        <f>Kompetanse!D82</f>
        <v>784572.80999999994</v>
      </c>
      <c r="E35" s="170">
        <f>Kompetanse!E82</f>
        <v>330165.18</v>
      </c>
      <c r="F35" s="170">
        <f>Kompetanse!F82</f>
        <v>484937</v>
      </c>
    </row>
    <row r="36" spans="1:6" s="29" customFormat="1" ht="16.5">
      <c r="A36" s="52"/>
      <c r="B36" s="168" t="s">
        <v>37</v>
      </c>
      <c r="C36" s="169" t="s">
        <v>38</v>
      </c>
      <c r="D36" s="170">
        <f>Kompetanse!D96</f>
        <v>404567.88</v>
      </c>
      <c r="E36" s="170">
        <f>Kompetanse!E96</f>
        <v>302201.90999999997</v>
      </c>
      <c r="F36" s="170">
        <f>Kompetanse!F96</f>
        <v>332152</v>
      </c>
    </row>
    <row r="37" spans="1:6" s="29" customFormat="1" ht="16.5">
      <c r="A37" s="52"/>
      <c r="B37" s="168" t="s">
        <v>39</v>
      </c>
      <c r="C37" s="169" t="s">
        <v>40</v>
      </c>
      <c r="D37" s="170">
        <f>Kompetanse!D108</f>
        <v>143541</v>
      </c>
      <c r="E37" s="170">
        <f>Kompetanse!E108</f>
        <v>228614.31</v>
      </c>
      <c r="F37" s="170">
        <f>Kompetanse!F108</f>
        <v>38000</v>
      </c>
    </row>
    <row r="38" spans="1:6" s="29" customFormat="1" ht="16.5">
      <c r="A38" s="52"/>
      <c r="B38" s="168" t="s">
        <v>41</v>
      </c>
      <c r="C38" s="169" t="s">
        <v>42</v>
      </c>
      <c r="D38" s="170">
        <f>Kompetanse!D121</f>
        <v>492577.63</v>
      </c>
      <c r="E38" s="170">
        <f>Kompetanse!E121</f>
        <v>119316.91</v>
      </c>
      <c r="F38" s="170">
        <f>Kompetanse!F121</f>
        <v>90246</v>
      </c>
    </row>
    <row r="39" spans="1:6" s="29" customFormat="1" ht="11.25" customHeight="1">
      <c r="A39" s="52"/>
      <c r="B39" s="8"/>
      <c r="C39" s="8"/>
      <c r="D39" s="47"/>
    </row>
    <row r="40" spans="1:6" s="29" customFormat="1" ht="16.5">
      <c r="A40" s="52"/>
      <c r="B40" s="364" t="s">
        <v>43</v>
      </c>
      <c r="C40" s="364"/>
      <c r="D40" s="364">
        <f>SUM(D41:D43)</f>
        <v>3192423.5732209105</v>
      </c>
      <c r="E40" s="364">
        <f>SUM(E41:E43)</f>
        <v>3249694.4799999995</v>
      </c>
      <c r="F40" s="364">
        <f>SUM(F41:F43)</f>
        <v>3065200</v>
      </c>
    </row>
    <row r="41" spans="1:6" s="29" customFormat="1" ht="16.5">
      <c r="A41" s="52"/>
      <c r="B41" s="162" t="s">
        <v>44</v>
      </c>
      <c r="C41" s="163" t="s">
        <v>45</v>
      </c>
      <c r="D41" s="164">
        <f>Politikk!D9</f>
        <v>1351744.1066104553</v>
      </c>
      <c r="E41" s="164">
        <f>Politikk!E9</f>
        <v>1397565.42</v>
      </c>
      <c r="F41" s="164">
        <f>Politikk!F9</f>
        <v>1236000</v>
      </c>
    </row>
    <row r="42" spans="1:6" s="29" customFormat="1" ht="16.5">
      <c r="A42" s="52"/>
      <c r="B42" s="162" t="s">
        <v>46</v>
      </c>
      <c r="C42" s="163" t="s">
        <v>47</v>
      </c>
      <c r="D42" s="164">
        <f>Politikk!D30</f>
        <v>1387316.1666104551</v>
      </c>
      <c r="E42" s="164">
        <f>Politikk!E30</f>
        <v>1804857.2299999997</v>
      </c>
      <c r="F42" s="164">
        <f>Politikk!F30</f>
        <v>1829200</v>
      </c>
    </row>
    <row r="43" spans="1:6" s="29" customFormat="1" ht="16.5">
      <c r="A43" s="52"/>
      <c r="B43" s="162" t="s">
        <v>48</v>
      </c>
      <c r="C43" s="163" t="s">
        <v>49</v>
      </c>
      <c r="D43" s="164">
        <f>Politikk!D44</f>
        <v>453363.30000000005</v>
      </c>
      <c r="E43" s="164">
        <f>Politikk!E44</f>
        <v>47271.83</v>
      </c>
      <c r="F43" s="164">
        <f>Politikk!F44</f>
        <v>0</v>
      </c>
    </row>
    <row r="44" spans="1:6" s="29" customFormat="1" ht="11.25" customHeight="1">
      <c r="A44" s="52"/>
      <c r="B44" s="8"/>
      <c r="C44" s="8"/>
      <c r="D44" s="55"/>
    </row>
    <row r="45" spans="1:6" s="29" customFormat="1" ht="16.5">
      <c r="A45" s="52"/>
      <c r="B45" s="365" t="s">
        <v>50</v>
      </c>
      <c r="C45" s="366"/>
      <c r="D45" s="367">
        <f>SUM(D46:D52)</f>
        <v>8318581.6199999992</v>
      </c>
      <c r="E45" s="367">
        <f>SUM(E46:E52)</f>
        <v>8648823.3499999996</v>
      </c>
      <c r="F45" s="367">
        <f>SUM(F46:F52)</f>
        <v>8978000</v>
      </c>
    </row>
    <row r="46" spans="1:6" s="29" customFormat="1" ht="16.5">
      <c r="A46" s="52"/>
      <c r="B46" s="165" t="s">
        <v>51</v>
      </c>
      <c r="C46" s="166" t="s">
        <v>52</v>
      </c>
      <c r="D46" s="167">
        <f>Forvaltning!D16</f>
        <v>5420137.7599999998</v>
      </c>
      <c r="E46" s="167">
        <f>Forvaltning!E16</f>
        <v>5411703.3800000008</v>
      </c>
      <c r="F46" s="167">
        <f>Forvaltning!F16</f>
        <v>5426000</v>
      </c>
    </row>
    <row r="47" spans="1:6" s="29" customFormat="1" ht="16.5">
      <c r="A47" s="52"/>
      <c r="B47" s="165" t="s">
        <v>53</v>
      </c>
      <c r="C47" s="166" t="s">
        <v>54</v>
      </c>
      <c r="D47" s="167">
        <f>Forvaltning!D31</f>
        <v>736291.62</v>
      </c>
      <c r="E47" s="167">
        <f>Forvaltning!E31</f>
        <v>709410.28999999992</v>
      </c>
      <c r="F47" s="167">
        <f>Forvaltning!F31</f>
        <v>766000</v>
      </c>
    </row>
    <row r="48" spans="1:6" s="29" customFormat="1" ht="16.5">
      <c r="A48" s="52"/>
      <c r="B48" s="165" t="s">
        <v>55</v>
      </c>
      <c r="C48" s="166" t="s">
        <v>56</v>
      </c>
      <c r="D48" s="167">
        <f>Forvaltning!D45</f>
        <v>589013.82999999996</v>
      </c>
      <c r="E48" s="167">
        <f>Forvaltning!E45</f>
        <v>588534.55999999994</v>
      </c>
      <c r="F48" s="167">
        <f>Forvaltning!F45</f>
        <v>518000</v>
      </c>
    </row>
    <row r="49" spans="1:7" s="29" customFormat="1" ht="16.5">
      <c r="A49" s="52"/>
      <c r="B49" s="165" t="s">
        <v>57</v>
      </c>
      <c r="C49" s="166" t="s">
        <v>58</v>
      </c>
      <c r="D49" s="167">
        <f>Forvaltning!D59</f>
        <v>904933.25000000012</v>
      </c>
      <c r="E49" s="167">
        <f>Forvaltning!E59</f>
        <v>812305.69</v>
      </c>
      <c r="F49" s="167">
        <f>Forvaltning!F59</f>
        <v>766000</v>
      </c>
    </row>
    <row r="50" spans="1:7" s="29" customFormat="1" ht="16.5">
      <c r="A50" s="52"/>
      <c r="B50" s="165" t="s">
        <v>59</v>
      </c>
      <c r="C50" s="166" t="s">
        <v>60</v>
      </c>
      <c r="D50" s="167">
        <f>Forvaltning!D72</f>
        <v>385969.73</v>
      </c>
      <c r="E50" s="167">
        <f>Forvaltning!E72</f>
        <v>414490.13</v>
      </c>
      <c r="F50" s="167">
        <f>Forvaltning!F72</f>
        <v>503000</v>
      </c>
    </row>
    <row r="51" spans="1:7" s="29" customFormat="1" ht="16.5">
      <c r="A51" s="52"/>
      <c r="B51" s="165" t="s">
        <v>61</v>
      </c>
      <c r="C51" s="166" t="s">
        <v>62</v>
      </c>
      <c r="D51" s="166">
        <f>Forvaltning!D98</f>
        <v>0</v>
      </c>
      <c r="E51" s="166">
        <f>Forvaltning!E98</f>
        <v>712379.3</v>
      </c>
      <c r="F51" s="166">
        <f>Forvaltning!F98</f>
        <v>999000</v>
      </c>
    </row>
    <row r="52" spans="1:7" s="29" customFormat="1" ht="16.5">
      <c r="A52" s="52"/>
      <c r="B52" s="165" t="s">
        <v>63</v>
      </c>
      <c r="C52" s="166" t="s">
        <v>64</v>
      </c>
      <c r="D52" s="167">
        <f>Forvaltning!D84</f>
        <v>282235.43</v>
      </c>
      <c r="E52" s="167">
        <f>Forvaltning!E84</f>
        <v>0</v>
      </c>
      <c r="F52" s="167">
        <f>Forvaltning!F84</f>
        <v>0</v>
      </c>
    </row>
    <row r="53" spans="1:7" s="29" customFormat="1" ht="11.25" customHeight="1">
      <c r="A53" s="52"/>
      <c r="B53" s="8"/>
      <c r="C53" s="8"/>
      <c r="D53" s="55"/>
    </row>
    <row r="54" spans="1:7" s="29" customFormat="1" ht="16.5">
      <c r="A54" s="52"/>
      <c r="B54" s="368" t="s">
        <v>65</v>
      </c>
      <c r="C54" s="369"/>
      <c r="D54" s="370">
        <f>SUM(D55:D56)</f>
        <v>2420750.6587015176</v>
      </c>
      <c r="E54" s="370">
        <f>SUM(E55:E56)</f>
        <v>2491654.63</v>
      </c>
      <c r="F54" s="370">
        <f>SUM(F55:F56)</f>
        <v>2899000</v>
      </c>
    </row>
    <row r="55" spans="1:7" s="29" customFormat="1" ht="16.5">
      <c r="A55" s="52"/>
      <c r="B55" s="193" t="s">
        <v>66</v>
      </c>
      <c r="C55" s="194" t="s">
        <v>67</v>
      </c>
      <c r="D55" s="195">
        <f>Kommunikasjon!D12</f>
        <v>2420750.6587015176</v>
      </c>
      <c r="E55" s="195">
        <f>Kommunikasjon!E12</f>
        <v>2491654.63</v>
      </c>
      <c r="F55" s="195">
        <f>Kommunikasjon!F12</f>
        <v>2899000</v>
      </c>
    </row>
    <row r="56" spans="1:7" s="29" customFormat="1" ht="16.5">
      <c r="A56" s="52"/>
      <c r="B56" s="193" t="s">
        <v>68</v>
      </c>
      <c r="C56" s="194" t="s">
        <v>69</v>
      </c>
      <c r="D56" s="195">
        <f>Kommunikasjon!D24</f>
        <v>0</v>
      </c>
      <c r="E56" s="195">
        <f>Kommunikasjon!E24</f>
        <v>0</v>
      </c>
      <c r="F56" s="195">
        <f>Kommunikasjon!F24</f>
        <v>0</v>
      </c>
    </row>
    <row r="57" spans="1:7" s="29" customFormat="1" ht="21" customHeight="1">
      <c r="A57" s="52"/>
      <c r="B57" s="54" t="s">
        <v>70</v>
      </c>
      <c r="C57" s="8"/>
      <c r="D57" s="55"/>
    </row>
    <row r="58" spans="1:7" s="29" customFormat="1" ht="6" customHeight="1">
      <c r="A58" s="52"/>
      <c r="B58" s="8"/>
      <c r="C58" s="8"/>
      <c r="D58" s="55"/>
    </row>
    <row r="59" spans="1:7" s="29" customFormat="1" ht="16.5">
      <c r="A59" s="52"/>
      <c r="B59" s="368" t="s">
        <v>71</v>
      </c>
      <c r="C59" s="369"/>
      <c r="D59" s="370">
        <f>SUM(D60:D61)</f>
        <v>4701112.3182799304</v>
      </c>
      <c r="E59" s="370">
        <f>SUM(E60:E61)</f>
        <v>4345317.7</v>
      </c>
      <c r="F59" s="370">
        <f>SUM(F60:F61)</f>
        <v>4566099.1899999995</v>
      </c>
      <c r="G59" s="279"/>
    </row>
    <row r="60" spans="1:7" s="29" customFormat="1" ht="16.5">
      <c r="A60" s="52"/>
      <c r="B60" s="193" t="s">
        <v>72</v>
      </c>
      <c r="C60" s="194" t="s">
        <v>73</v>
      </c>
      <c r="D60" s="195">
        <f>Administrasjon!D11</f>
        <v>972677.53</v>
      </c>
      <c r="E60" s="195">
        <f>Administrasjon!E11</f>
        <v>1029217.22</v>
      </c>
      <c r="F60" s="195">
        <f>Administrasjon!F11</f>
        <v>1018716</v>
      </c>
    </row>
    <row r="61" spans="1:7" s="29" customFormat="1" ht="16.5">
      <c r="A61" s="52"/>
      <c r="B61" s="193" t="s">
        <v>74</v>
      </c>
      <c r="C61" s="194" t="s">
        <v>75</v>
      </c>
      <c r="D61" s="195">
        <f>Administrasjon!D24</f>
        <v>3728434.7882799301</v>
      </c>
      <c r="E61" s="195">
        <f>Administrasjon!E24</f>
        <v>3316100.4800000004</v>
      </c>
      <c r="F61" s="195">
        <f>Administrasjon!F24</f>
        <v>3547383.19</v>
      </c>
    </row>
    <row r="62" spans="1:7" s="29" customFormat="1" ht="16.5">
      <c r="A62" s="52"/>
      <c r="B62" s="8"/>
      <c r="C62" s="8"/>
      <c r="D62" s="56"/>
    </row>
    <row r="63" spans="1:7" s="29" customFormat="1" ht="18.75" thickBot="1">
      <c r="A63" s="52"/>
      <c r="B63" s="57" t="s">
        <v>76</v>
      </c>
      <c r="C63" s="57"/>
      <c r="D63" s="58">
        <f>D40+D30+D45+D54+D59</f>
        <v>23559513.647426967</v>
      </c>
      <c r="E63" s="58">
        <f>E40+E30+E45+E54+E59</f>
        <v>24269322.479999997</v>
      </c>
      <c r="F63" s="58">
        <f>F40+F30+F45+F54+F59</f>
        <v>25388318.189999998</v>
      </c>
    </row>
    <row r="64" spans="1:7" s="29" customFormat="1" ht="22.5" customHeight="1">
      <c r="A64" s="52"/>
      <c r="B64" s="35"/>
      <c r="C64" s="35"/>
      <c r="D64" s="47"/>
      <c r="E64" s="47"/>
    </row>
    <row r="65" spans="1:8" s="29" customFormat="1" ht="21">
      <c r="A65" s="52"/>
      <c r="B65" s="59" t="s">
        <v>77</v>
      </c>
      <c r="C65" s="35"/>
      <c r="D65" s="60">
        <f>D25-D63</f>
        <v>-757494.67742696777</v>
      </c>
      <c r="E65" s="60">
        <f>E25-E63</f>
        <v>102087.8400000073</v>
      </c>
      <c r="F65" s="60">
        <f>F25-F63</f>
        <v>-42657.189999997616</v>
      </c>
    </row>
    <row r="66" spans="1:8" s="29" customFormat="1" ht="21">
      <c r="A66" s="52"/>
      <c r="B66" s="59"/>
      <c r="C66" s="35"/>
      <c r="D66" s="47"/>
      <c r="E66" s="47"/>
    </row>
    <row r="67" spans="1:8" s="29" customFormat="1" ht="21">
      <c r="A67" s="52"/>
      <c r="B67" s="59" t="s">
        <v>78</v>
      </c>
      <c r="C67" s="35"/>
      <c r="D67" s="47"/>
      <c r="E67" s="47"/>
    </row>
    <row r="68" spans="1:8" s="43" customFormat="1" ht="16.5">
      <c r="A68" s="61"/>
      <c r="B68" s="61"/>
      <c r="C68" s="61"/>
      <c r="D68" s="62"/>
      <c r="E68" s="62"/>
    </row>
    <row r="69" spans="1:8" s="43" customFormat="1" ht="33">
      <c r="A69" s="61"/>
      <c r="C69" s="371" t="s">
        <v>79</v>
      </c>
      <c r="D69" s="372" t="s">
        <v>80</v>
      </c>
      <c r="E69" s="372" t="s">
        <v>81</v>
      </c>
      <c r="F69" s="372" t="s">
        <v>82</v>
      </c>
      <c r="G69" s="373" t="s">
        <v>83</v>
      </c>
    </row>
    <row r="70" spans="1:8" s="43" customFormat="1" ht="16.5">
      <c r="A70" s="61"/>
      <c r="C70" s="237" t="s">
        <v>84</v>
      </c>
      <c r="D70" s="277">
        <v>-1106830</v>
      </c>
      <c r="E70" s="374">
        <v>6123352</v>
      </c>
      <c r="F70" s="229">
        <f>F65-F73-F72-F71</f>
        <v>103123.45272812089</v>
      </c>
      <c r="G70" s="230">
        <f>E70+F70</f>
        <v>6226475.4527281206</v>
      </c>
    </row>
    <row r="71" spans="1:8" s="43" customFormat="1" ht="16.5">
      <c r="A71" s="61"/>
      <c r="C71" s="237" t="s">
        <v>85</v>
      </c>
      <c r="D71" s="277">
        <v>533294</v>
      </c>
      <c r="E71" s="277">
        <v>679520</v>
      </c>
      <c r="F71" s="229">
        <v>-72204.642728118502</v>
      </c>
      <c r="G71" s="230">
        <f>E71+F71</f>
        <v>607315.35727188154</v>
      </c>
      <c r="H71" s="43" t="s">
        <v>86</v>
      </c>
    </row>
    <row r="72" spans="1:8" s="43" customFormat="1" ht="16.5">
      <c r="A72" s="61"/>
      <c r="B72" s="24"/>
      <c r="C72" s="237" t="s">
        <v>87</v>
      </c>
      <c r="D72" s="277">
        <v>-183958</v>
      </c>
      <c r="E72" s="277">
        <v>73576</v>
      </c>
      <c r="F72" s="229">
        <v>-73576</v>
      </c>
      <c r="G72" s="230">
        <f>E72+F72</f>
        <v>0</v>
      </c>
    </row>
    <row r="73" spans="1:8" s="43" customFormat="1" ht="16.5">
      <c r="A73" s="61"/>
      <c r="C73" s="237" t="s">
        <v>88</v>
      </c>
      <c r="D73" s="232">
        <v>0</v>
      </c>
      <c r="E73" s="232">
        <v>438057.23</v>
      </c>
      <c r="F73" s="231">
        <v>0</v>
      </c>
      <c r="G73" s="230">
        <f>E73+F73</f>
        <v>438057.23</v>
      </c>
    </row>
    <row r="74" spans="1:8" s="43" customFormat="1" ht="16.5">
      <c r="A74" s="61"/>
      <c r="C74" s="371" t="s">
        <v>89</v>
      </c>
      <c r="D74" s="375">
        <f>SUM(D70:D73)</f>
        <v>-757494</v>
      </c>
      <c r="E74" s="375">
        <f>SUM(E70:E73)</f>
        <v>7314505.2300000004</v>
      </c>
      <c r="F74" s="375">
        <f>SUM(F70:F73)</f>
        <v>-42657.189999997616</v>
      </c>
      <c r="G74" s="376">
        <f>SUM(G70:G73)</f>
        <v>7271848.0400000028</v>
      </c>
    </row>
    <row r="75" spans="1:8" s="43" customFormat="1" ht="16.5">
      <c r="A75" s="61"/>
      <c r="B75" s="61"/>
      <c r="C75" s="64"/>
      <c r="D75" s="62"/>
      <c r="E75" s="62"/>
      <c r="F75" s="63"/>
      <c r="G75" s="63"/>
    </row>
    <row r="76" spans="1:8" ht="33">
      <c r="B76" s="29"/>
      <c r="C76" s="371" t="s">
        <v>79</v>
      </c>
      <c r="D76" s="372" t="s">
        <v>81</v>
      </c>
      <c r="E76" s="372" t="s">
        <v>90</v>
      </c>
      <c r="F76" s="373" t="s">
        <v>91</v>
      </c>
    </row>
    <row r="77" spans="1:8" ht="16.5">
      <c r="B77" s="29"/>
      <c r="C77" s="237" t="s">
        <v>84</v>
      </c>
      <c r="D77" s="374">
        <v>6123352</v>
      </c>
      <c r="E77" s="229">
        <f>E65-E80-E79-E78</f>
        <v>247868.5600000073</v>
      </c>
      <c r="F77" s="230">
        <f>D77+E77</f>
        <v>6371220.560000007</v>
      </c>
    </row>
    <row r="78" spans="1:8" ht="16.5">
      <c r="B78" s="29"/>
      <c r="C78" s="237" t="s">
        <v>85</v>
      </c>
      <c r="D78" s="277">
        <v>679520</v>
      </c>
      <c r="E78" s="229">
        <v>-72204.72</v>
      </c>
      <c r="F78" s="230">
        <f>D78+E78</f>
        <v>607315.28</v>
      </c>
    </row>
    <row r="79" spans="1:8" ht="16.5">
      <c r="C79" s="237" t="s">
        <v>87</v>
      </c>
      <c r="D79" s="277">
        <v>73576</v>
      </c>
      <c r="E79" s="229">
        <v>-73576</v>
      </c>
      <c r="F79" s="230">
        <f>D79+E79</f>
        <v>0</v>
      </c>
    </row>
    <row r="80" spans="1:8" ht="16.5">
      <c r="C80" s="237" t="s">
        <v>88</v>
      </c>
      <c r="D80" s="232">
        <v>438057.23</v>
      </c>
      <c r="E80" s="231">
        <v>0</v>
      </c>
      <c r="F80" s="230">
        <f>D80+E80</f>
        <v>438057.23</v>
      </c>
    </row>
    <row r="81" spans="3:6" ht="16.5">
      <c r="C81" s="371" t="s">
        <v>89</v>
      </c>
      <c r="D81" s="375">
        <f>SUM(D77:D80)</f>
        <v>7314505.2300000004</v>
      </c>
      <c r="E81" s="375">
        <f>SUM(E77:E80)</f>
        <v>102087.8400000073</v>
      </c>
      <c r="F81" s="376">
        <f>SUM(F77:F80)</f>
        <v>7416593.0700000077</v>
      </c>
    </row>
  </sheetData>
  <sheetProtection algorithmName="SHA-512" hashValue="opyiqSZ1g4qQE0gmaNK9R//RtYO5mNZiSRbf5b/88EC8hh6IPbQ6SUMVLqB3oePD1lC4JH9k+k+x3IZ5tQ3+1A==" saltValue="HiJuUEK9MPLewmo2hEWMVQ==" spinCount="100000" sheet="1" formatCells="0" formatColumns="0" formatRows="0" insertColumns="0" insertRows="0" insertHyperlinks="0" deleteColumns="0" deleteRows="0" sort="0" autoFilter="0" pivotTables="0"/>
  <phoneticPr fontId="7"/>
  <pageMargins left="0.39370078740157483" right="0.39370078740157483" top="0.39370078740157483" bottom="0.39370078740157483" header="0.51181102362204722" footer="0.51181102362204722"/>
  <pageSetup paperSize="8" scale="67" orientation="landscape" horizontalDpi="2400" verticalDpi="24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50979-5025-491E-9D96-9EF302F0488C}">
  <sheetPr codeName="Ark2">
    <tabColor theme="2" tint="-9.9978637043366805E-2"/>
    <pageSetUpPr fitToPage="1"/>
  </sheetPr>
  <dimension ref="A1:H73"/>
  <sheetViews>
    <sheetView showGridLines="0" topLeftCell="A41" zoomScale="110" zoomScaleNormal="100" workbookViewId="0">
      <selection activeCell="G67" sqref="G67"/>
    </sheetView>
  </sheetViews>
  <sheetFormatPr baseColWidth="10" defaultColWidth="11.42578125" defaultRowHeight="16.5"/>
  <cols>
    <col min="1" max="1" width="11.7109375" style="15" customWidth="1"/>
    <col min="2" max="2" width="5.28515625" style="15" customWidth="1"/>
    <col min="3" max="3" width="71.42578125" style="15" bestFit="1" customWidth="1"/>
    <col min="4" max="6" width="25.28515625" style="15" customWidth="1"/>
    <col min="7" max="16384" width="11.42578125" style="15"/>
  </cols>
  <sheetData>
    <row r="1" spans="1:8" ht="21">
      <c r="A1" s="89" t="s">
        <v>2</v>
      </c>
    </row>
    <row r="3" spans="1:8">
      <c r="A3" s="70" t="s">
        <v>92</v>
      </c>
      <c r="B3" s="21"/>
      <c r="C3" s="21"/>
      <c r="D3" s="93"/>
      <c r="E3" s="93"/>
    </row>
    <row r="4" spans="1:8">
      <c r="A4" s="315">
        <v>11000</v>
      </c>
      <c r="B4" s="315"/>
      <c r="C4" s="316" t="s">
        <v>93</v>
      </c>
      <c r="D4" s="317" t="str">
        <f>'Budsjett 2025'!D$8</f>
        <v>Rekneskap 2024</v>
      </c>
      <c r="E4" s="317" t="str">
        <f>'Budsjett 2025'!E$8</f>
        <v>Regnskap 2025</v>
      </c>
      <c r="F4" s="317" t="str">
        <f>'Budsjett 2025'!F$8</f>
        <v>Budsjett 2025 rev. 2</v>
      </c>
    </row>
    <row r="5" spans="1:8">
      <c r="C5" s="65"/>
      <c r="D5" s="65"/>
      <c r="E5" s="65"/>
      <c r="F5" s="65"/>
    </row>
    <row r="6" spans="1:8">
      <c r="A6" s="15">
        <v>3500</v>
      </c>
      <c r="C6" s="15" t="s">
        <v>94</v>
      </c>
      <c r="D6" s="261">
        <f>1177800-12000</f>
        <v>1165800</v>
      </c>
      <c r="E6" s="22">
        <v>1211200</v>
      </c>
      <c r="F6" s="22">
        <v>1160000</v>
      </c>
      <c r="G6" s="240"/>
    </row>
    <row r="7" spans="1:8" ht="17.25" thickBot="1">
      <c r="C7" s="94" t="s">
        <v>95</v>
      </c>
      <c r="D7" s="95">
        <f>D6</f>
        <v>1165800</v>
      </c>
      <c r="E7" s="95">
        <f>E6</f>
        <v>1211200</v>
      </c>
      <c r="F7" s="95">
        <f>F6</f>
        <v>1160000</v>
      </c>
      <c r="G7" s="240"/>
    </row>
    <row r="8" spans="1:8">
      <c r="D8" s="22"/>
      <c r="E8" s="22"/>
      <c r="F8" s="22"/>
      <c r="G8" s="240"/>
    </row>
    <row r="9" spans="1:8">
      <c r="G9" s="240"/>
    </row>
    <row r="10" spans="1:8">
      <c r="A10" s="377"/>
      <c r="B10" s="378"/>
      <c r="C10" s="379" t="s">
        <v>96</v>
      </c>
      <c r="D10" s="317" t="str">
        <f>'Budsjett 2025'!D$8</f>
        <v>Rekneskap 2024</v>
      </c>
      <c r="E10" s="317" t="str">
        <f>'Budsjett 2025'!E$8</f>
        <v>Regnskap 2025</v>
      </c>
      <c r="F10" s="317" t="str">
        <f>'Budsjett 2025'!F$8</f>
        <v>Budsjett 2025 rev. 2</v>
      </c>
      <c r="G10" s="240"/>
    </row>
    <row r="11" spans="1:8">
      <c r="A11" s="96"/>
      <c r="C11" s="65"/>
      <c r="D11" s="65"/>
      <c r="E11" s="65"/>
      <c r="F11" s="65"/>
      <c r="G11" s="240"/>
    </row>
    <row r="12" spans="1:8">
      <c r="A12" s="15">
        <v>10000</v>
      </c>
      <c r="B12" s="46"/>
      <c r="C12" s="65" t="s">
        <v>97</v>
      </c>
      <c r="G12" s="240"/>
    </row>
    <row r="13" spans="1:8">
      <c r="A13" s="15">
        <v>3300</v>
      </c>
      <c r="C13" s="15" t="s">
        <v>98</v>
      </c>
      <c r="D13" s="243">
        <v>6219707</v>
      </c>
      <c r="E13" s="22">
        <v>6511822</v>
      </c>
      <c r="F13" s="37">
        <v>6511822</v>
      </c>
      <c r="G13" s="240"/>
      <c r="H13" s="22"/>
    </row>
    <row r="14" spans="1:8">
      <c r="A14" s="15">
        <v>3300</v>
      </c>
      <c r="C14" s="15" t="s">
        <v>99</v>
      </c>
      <c r="D14" s="243">
        <v>2500000</v>
      </c>
      <c r="E14" s="22">
        <f>2598607+20000</f>
        <v>2618607</v>
      </c>
      <c r="F14" s="37">
        <v>2598607</v>
      </c>
      <c r="G14" s="240"/>
      <c r="H14" s="22"/>
    </row>
    <row r="15" spans="1:8">
      <c r="A15" s="15">
        <v>3450</v>
      </c>
      <c r="B15" s="78"/>
      <c r="C15" s="15" t="s">
        <v>100</v>
      </c>
      <c r="D15" s="243">
        <v>1291247</v>
      </c>
      <c r="E15" s="22">
        <v>1451840</v>
      </c>
      <c r="F15" s="22">
        <v>1350000</v>
      </c>
      <c r="G15" s="240"/>
    </row>
    <row r="16" spans="1:8" ht="17.25" thickBot="1">
      <c r="B16" s="78"/>
      <c r="C16" s="94" t="s">
        <v>95</v>
      </c>
      <c r="D16" s="97">
        <f>SUM(D13:D15)</f>
        <v>10010954</v>
      </c>
      <c r="E16" s="97">
        <f>SUM(E13:E15)</f>
        <v>10582269</v>
      </c>
      <c r="F16" s="97">
        <f>SUM(F13:F15)</f>
        <v>10460429</v>
      </c>
      <c r="G16" s="240"/>
    </row>
    <row r="17" spans="1:7">
      <c r="B17" s="78"/>
      <c r="C17" s="65"/>
      <c r="D17" s="68"/>
      <c r="E17" s="68"/>
      <c r="F17" s="68"/>
      <c r="G17" s="240"/>
    </row>
    <row r="18" spans="1:7">
      <c r="C18" s="65" t="s">
        <v>101</v>
      </c>
      <c r="G18" s="240"/>
    </row>
    <row r="19" spans="1:7">
      <c r="A19" s="15">
        <v>21100</v>
      </c>
      <c r="C19" s="159" t="s">
        <v>102</v>
      </c>
      <c r="D19" s="160">
        <f>Kompetanse!D26</f>
        <v>552319.61</v>
      </c>
      <c r="E19" s="160">
        <f>Kompetanse!E26</f>
        <v>1084847.2600000002</v>
      </c>
      <c r="F19" s="160">
        <f>Kompetanse!F26</f>
        <v>1083680</v>
      </c>
      <c r="G19" s="240"/>
    </row>
    <row r="20" spans="1:7">
      <c r="A20" s="15">
        <v>21200</v>
      </c>
      <c r="C20" s="159" t="s">
        <v>103</v>
      </c>
      <c r="D20" s="160">
        <f>Kompetanse!D37+Kompetanse!D38</f>
        <v>540000</v>
      </c>
      <c r="E20" s="160">
        <f>Kompetanse!E37+Kompetanse!E38+Kompetanse!E41+Kompetanse!E42</f>
        <v>100047.64999999997</v>
      </c>
      <c r="F20" s="160">
        <f>Kompetanse!F37+Kompetanse!F38+Kompetanse!F41+Kompetanse!F42</f>
        <v>500000</v>
      </c>
      <c r="G20" s="240"/>
    </row>
    <row r="21" spans="1:7">
      <c r="A21" s="15">
        <v>21200</v>
      </c>
      <c r="C21" s="159" t="s">
        <v>104</v>
      </c>
      <c r="D21" s="160">
        <v>0</v>
      </c>
      <c r="E21" s="160">
        <f>Kompetanse!E39</f>
        <v>600000</v>
      </c>
      <c r="F21" s="160">
        <f>Kompetanse!F39</f>
        <v>600000</v>
      </c>
      <c r="G21" s="240"/>
    </row>
    <row r="22" spans="1:7">
      <c r="A22" s="15">
        <v>21300</v>
      </c>
      <c r="C22" s="159" t="s">
        <v>105</v>
      </c>
      <c r="D22" s="160">
        <f>Kompetanse!D57</f>
        <v>0</v>
      </c>
      <c r="E22" s="160">
        <f>Kompetanse!E57</f>
        <v>150000</v>
      </c>
      <c r="F22" s="160">
        <f>Kompetanse!F57</f>
        <v>150000</v>
      </c>
      <c r="G22" s="240"/>
    </row>
    <row r="23" spans="1:7">
      <c r="A23" s="15">
        <v>21400</v>
      </c>
      <c r="C23" s="159" t="s">
        <v>106</v>
      </c>
      <c r="D23" s="160">
        <f>Kompetanse!D91</f>
        <v>404566.85</v>
      </c>
      <c r="E23" s="160">
        <f>Kompetanse!E91</f>
        <v>302201.90999999997</v>
      </c>
      <c r="F23" s="160">
        <f>Kompetanse!F91</f>
        <v>332152</v>
      </c>
      <c r="G23" s="240"/>
    </row>
    <row r="24" spans="1:7">
      <c r="A24" s="15">
        <v>25000</v>
      </c>
      <c r="C24" s="159" t="s">
        <v>107</v>
      </c>
      <c r="D24" s="160">
        <f>Kompetanse!D74</f>
        <v>605557.39</v>
      </c>
      <c r="E24" s="160">
        <f>Kompetanse!E74</f>
        <v>293850.94</v>
      </c>
      <c r="F24" s="160">
        <f>Kompetanse!F74</f>
        <v>484937</v>
      </c>
      <c r="G24" s="240"/>
    </row>
    <row r="25" spans="1:7">
      <c r="A25" s="15">
        <v>48000</v>
      </c>
      <c r="C25" s="104" t="s">
        <v>108</v>
      </c>
      <c r="D25" s="105">
        <f>Politikk!D23</f>
        <v>361949</v>
      </c>
      <c r="E25" s="105">
        <f>SUM(Politikk!E15:E21)</f>
        <v>82686.76999999999</v>
      </c>
      <c r="F25" s="105">
        <f>SUM(Politikk!F15:F21)</f>
        <v>335000</v>
      </c>
      <c r="G25" s="240"/>
    </row>
    <row r="26" spans="1:7" ht="17.25" thickBot="1">
      <c r="C26" s="94" t="s">
        <v>95</v>
      </c>
      <c r="D26" s="95">
        <f>SUM(D19:D25)</f>
        <v>2464392.85</v>
      </c>
      <c r="E26" s="95">
        <f>SUM(E19:E25)</f>
        <v>2613634.5300000003</v>
      </c>
      <c r="F26" s="95">
        <f>SUM(F19:F25)</f>
        <v>3485769</v>
      </c>
      <c r="G26" s="240"/>
    </row>
    <row r="27" spans="1:7">
      <c r="C27" s="65"/>
      <c r="D27" s="66"/>
      <c r="E27" s="66"/>
      <c r="F27" s="66"/>
      <c r="G27" s="240"/>
    </row>
    <row r="28" spans="1:7">
      <c r="B28" s="46"/>
      <c r="C28" s="65" t="s">
        <v>109</v>
      </c>
      <c r="G28" s="240"/>
    </row>
    <row r="29" spans="1:7">
      <c r="A29" s="15">
        <v>30100</v>
      </c>
      <c r="B29" s="46"/>
      <c r="C29" s="115" t="s">
        <v>110</v>
      </c>
      <c r="D29" s="161">
        <f>Forvaltning!D10</f>
        <v>5000000</v>
      </c>
      <c r="E29" s="161">
        <f>Forvaltning!E10</f>
        <v>5294000</v>
      </c>
      <c r="F29" s="161">
        <f>Forvaltning!F10</f>
        <v>5295000</v>
      </c>
      <c r="G29" s="240"/>
    </row>
    <row r="30" spans="1:7">
      <c r="A30" s="78" t="s">
        <v>111</v>
      </c>
      <c r="B30" s="78"/>
      <c r="C30" s="115" t="s">
        <v>112</v>
      </c>
      <c r="D30" s="116">
        <f>Forvaltning!D53</f>
        <v>600000</v>
      </c>
      <c r="E30" s="116">
        <f>Forvaltning!E53</f>
        <v>635000</v>
      </c>
      <c r="F30" s="116">
        <f>Forvaltning!F53</f>
        <v>635000</v>
      </c>
      <c r="G30" s="240"/>
    </row>
    <row r="31" spans="1:7">
      <c r="A31" s="15">
        <v>30300</v>
      </c>
      <c r="B31" s="46"/>
      <c r="C31" s="115" t="s">
        <v>113</v>
      </c>
      <c r="D31" s="161">
        <f>Forvaltning!D39</f>
        <v>500000</v>
      </c>
      <c r="E31" s="161">
        <f>Forvaltning!E39</f>
        <v>506000</v>
      </c>
      <c r="F31" s="161">
        <f>Forvaltning!F39</f>
        <v>505000</v>
      </c>
      <c r="G31" s="240"/>
    </row>
    <row r="32" spans="1:7">
      <c r="A32" s="15">
        <v>30400</v>
      </c>
      <c r="B32" s="46"/>
      <c r="C32" s="115" t="s">
        <v>114</v>
      </c>
      <c r="D32" s="161">
        <f>Forvaltning!D25</f>
        <v>664495.73</v>
      </c>
      <c r="E32" s="161">
        <f>Forvaltning!E25</f>
        <v>700000</v>
      </c>
      <c r="F32" s="161">
        <f>Forvaltning!F25</f>
        <v>700000</v>
      </c>
      <c r="G32" s="240"/>
    </row>
    <row r="33" spans="1:7">
      <c r="A33" s="78" t="s">
        <v>115</v>
      </c>
      <c r="B33" s="78"/>
      <c r="C33" s="115" t="s">
        <v>116</v>
      </c>
      <c r="D33" s="116">
        <f>Forvaltning!D66</f>
        <v>333000</v>
      </c>
      <c r="E33" s="116">
        <f>Forvaltning!E66</f>
        <v>414490.13</v>
      </c>
      <c r="F33" s="116">
        <f>Forvaltning!F66</f>
        <v>333000</v>
      </c>
      <c r="G33" s="240"/>
    </row>
    <row r="34" spans="1:7" ht="17.25" thickBot="1">
      <c r="B34" s="91"/>
      <c r="C34" s="94" t="s">
        <v>95</v>
      </c>
      <c r="D34" s="95">
        <f>SUM(D29:D33)</f>
        <v>7097495.7300000004</v>
      </c>
      <c r="E34" s="95">
        <f>SUM(E29:E33)</f>
        <v>7549490.1299999999</v>
      </c>
      <c r="F34" s="95">
        <f>SUM(F29:F33)</f>
        <v>7468000</v>
      </c>
      <c r="G34" s="240"/>
    </row>
    <row r="35" spans="1:7">
      <c r="B35" s="91"/>
      <c r="C35" s="65"/>
      <c r="D35" s="90"/>
      <c r="E35" s="90"/>
      <c r="F35" s="90"/>
      <c r="G35" s="240"/>
    </row>
    <row r="36" spans="1:7">
      <c r="B36" s="91"/>
      <c r="C36" s="65" t="s">
        <v>117</v>
      </c>
      <c r="G36" s="240"/>
    </row>
    <row r="37" spans="1:7">
      <c r="A37" s="15">
        <v>21200</v>
      </c>
      <c r="C37" s="159" t="s">
        <v>118</v>
      </c>
      <c r="D37" s="160">
        <f>Kompetanse!D40</f>
        <v>113400</v>
      </c>
      <c r="E37" s="160">
        <f>Kompetanse!E40</f>
        <v>0</v>
      </c>
      <c r="F37" s="160">
        <f>Kompetanse!F40</f>
        <v>0</v>
      </c>
      <c r="G37" s="240"/>
    </row>
    <row r="38" spans="1:7">
      <c r="A38" s="69">
        <v>21300</v>
      </c>
      <c r="C38" s="159" t="s">
        <v>119</v>
      </c>
      <c r="D38" s="160">
        <f>Kompetanse!D60</f>
        <v>170996</v>
      </c>
      <c r="E38" s="160">
        <f>Kompetanse!E56+Kompetanse!E59+Kompetanse!E58</f>
        <v>599004</v>
      </c>
      <c r="F38" s="160">
        <f>Kompetanse!F56+Kompetanse!F58</f>
        <v>599004</v>
      </c>
      <c r="G38" s="240"/>
    </row>
    <row r="39" spans="1:7">
      <c r="A39" s="69">
        <v>28100</v>
      </c>
      <c r="C39" s="159" t="s">
        <v>120</v>
      </c>
      <c r="D39" s="160">
        <v>350000</v>
      </c>
      <c r="E39" s="160">
        <v>0</v>
      </c>
      <c r="F39" s="160">
        <v>0</v>
      </c>
      <c r="G39" s="240"/>
    </row>
    <row r="40" spans="1:7">
      <c r="A40" s="15">
        <v>21500</v>
      </c>
      <c r="C40" s="159" t="s">
        <v>121</v>
      </c>
      <c r="D40" s="160">
        <f>Kompetanse!D102</f>
        <v>73412</v>
      </c>
      <c r="E40" s="160">
        <f>Kompetanse!E102</f>
        <v>35080.36</v>
      </c>
      <c r="F40" s="160">
        <f>Kompetanse!F102</f>
        <v>38000</v>
      </c>
      <c r="G40" s="240"/>
    </row>
    <row r="41" spans="1:7">
      <c r="A41" s="69">
        <v>47000</v>
      </c>
      <c r="C41" s="104" t="s">
        <v>122</v>
      </c>
      <c r="D41" s="105">
        <f>Politikk!D22</f>
        <v>0</v>
      </c>
      <c r="E41" s="105">
        <f>Politikk!E22</f>
        <v>113779.01000000001</v>
      </c>
      <c r="F41" s="105">
        <f>Politikk!F22</f>
        <v>290186</v>
      </c>
      <c r="G41" s="240"/>
    </row>
    <row r="42" spans="1:7">
      <c r="A42" s="15">
        <v>49000</v>
      </c>
      <c r="C42" s="104" t="s">
        <v>123</v>
      </c>
      <c r="D42" s="105">
        <f>Politikk!D39</f>
        <v>453363.33999999997</v>
      </c>
      <c r="E42" s="105">
        <f>Politikk!E39</f>
        <v>0</v>
      </c>
      <c r="F42" s="105">
        <f>Politikk!F39</f>
        <v>0</v>
      </c>
      <c r="G42" s="240"/>
    </row>
    <row r="43" spans="1:7">
      <c r="A43" s="69">
        <v>38100</v>
      </c>
      <c r="C43" s="115" t="s">
        <v>124</v>
      </c>
      <c r="D43" s="161">
        <f>Forvaltning!D79</f>
        <v>276944.46999999997</v>
      </c>
      <c r="E43" s="161">
        <f>Forvaltning!E79</f>
        <v>5272.29</v>
      </c>
      <c r="F43" s="161">
        <f>Forvaltning!F79</f>
        <v>5273</v>
      </c>
      <c r="G43" s="240"/>
    </row>
    <row r="44" spans="1:7">
      <c r="A44" s="69">
        <v>38200</v>
      </c>
      <c r="C44" s="115" t="s">
        <v>125</v>
      </c>
      <c r="D44" s="161">
        <v>0</v>
      </c>
      <c r="E44" s="161">
        <f>Forvaltning!E93</f>
        <v>712379.3</v>
      </c>
      <c r="F44" s="161">
        <v>999000</v>
      </c>
      <c r="G44" s="240"/>
    </row>
    <row r="45" spans="1:7">
      <c r="C45" s="200" t="s">
        <v>126</v>
      </c>
      <c r="D45" s="201">
        <f>Kommunikasjon!D19</f>
        <v>0</v>
      </c>
      <c r="E45" s="201">
        <f>Kommunikasjon!E19</f>
        <v>0</v>
      </c>
      <c r="F45" s="201">
        <f>Kommunikasjon!F19</f>
        <v>0</v>
      </c>
      <c r="G45" s="240"/>
    </row>
    <row r="46" spans="1:7" ht="17.25" thickBot="1">
      <c r="B46" s="91"/>
      <c r="C46" s="94" t="s">
        <v>95</v>
      </c>
      <c r="D46" s="95">
        <f>SUM(D37:D45)</f>
        <v>1438115.8099999998</v>
      </c>
      <c r="E46" s="95">
        <f>SUM(E37:E45)</f>
        <v>1465514.96</v>
      </c>
      <c r="F46" s="95">
        <f>SUM(F37:F45)</f>
        <v>1931463</v>
      </c>
      <c r="G46" s="240"/>
    </row>
    <row r="47" spans="1:7">
      <c r="B47" s="91"/>
      <c r="C47" s="65"/>
      <c r="D47" s="90"/>
      <c r="E47" s="90"/>
      <c r="F47" s="90"/>
      <c r="G47" s="240"/>
    </row>
    <row r="48" spans="1:7">
      <c r="B48" s="91"/>
      <c r="C48" s="65"/>
      <c r="D48" s="90"/>
      <c r="E48" s="90"/>
      <c r="F48" s="90"/>
      <c r="G48" s="240"/>
    </row>
    <row r="49" spans="1:7">
      <c r="A49" s="379"/>
      <c r="B49" s="378"/>
      <c r="C49" s="379" t="s">
        <v>127</v>
      </c>
      <c r="D49" s="317" t="str">
        <f>'Budsjett 2025'!D$8</f>
        <v>Rekneskap 2024</v>
      </c>
      <c r="E49" s="317" t="str">
        <f>'Budsjett 2025'!E$8</f>
        <v>Regnskap 2025</v>
      </c>
      <c r="F49" s="317" t="str">
        <f>'Budsjett 2025'!F$8</f>
        <v>Budsjett 2025 rev. 2</v>
      </c>
      <c r="G49" s="240"/>
    </row>
    <row r="50" spans="1:7">
      <c r="A50" s="65"/>
      <c r="D50" s="66"/>
      <c r="E50" s="66"/>
      <c r="F50" s="66"/>
      <c r="G50" s="240"/>
    </row>
    <row r="51" spans="1:7">
      <c r="C51" s="65" t="s">
        <v>128</v>
      </c>
      <c r="D51" s="66"/>
      <c r="E51" s="66"/>
      <c r="F51" s="66"/>
      <c r="G51" s="240"/>
    </row>
    <row r="52" spans="1:7">
      <c r="A52" s="15">
        <v>20200</v>
      </c>
      <c r="C52" s="101" t="s">
        <v>129</v>
      </c>
      <c r="D52" s="102">
        <f>Kompetanse!D6</f>
        <v>60382.93</v>
      </c>
      <c r="E52" s="102">
        <f>Kompetanse!E6</f>
        <v>2819.75</v>
      </c>
      <c r="F52" s="102">
        <f>Kompetanse!F6</f>
        <v>20000</v>
      </c>
      <c r="G52" s="240"/>
    </row>
    <row r="53" spans="1:7">
      <c r="A53" s="15">
        <v>20400</v>
      </c>
      <c r="C53" s="101" t="s">
        <v>130</v>
      </c>
      <c r="D53" s="102">
        <f>Kompetanse!D8</f>
        <v>40180.870000000003</v>
      </c>
      <c r="E53" s="102">
        <f>Kompetanse!E8</f>
        <v>60088</v>
      </c>
      <c r="F53" s="102">
        <f>Kompetanse!F8</f>
        <v>65000</v>
      </c>
      <c r="G53" s="240"/>
    </row>
    <row r="54" spans="1:7" ht="17.25" thickBot="1">
      <c r="B54" s="91"/>
      <c r="C54" s="94" t="s">
        <v>95</v>
      </c>
      <c r="D54" s="95">
        <f>SUM(D52:D53)</f>
        <v>100563.8</v>
      </c>
      <c r="E54" s="95">
        <f>SUM(E52:E53)</f>
        <v>62907.75</v>
      </c>
      <c r="F54" s="95">
        <f>SUM(F52:F53)</f>
        <v>85000</v>
      </c>
      <c r="G54" s="240"/>
    </row>
    <row r="55" spans="1:7">
      <c r="B55" s="91"/>
      <c r="D55" s="37"/>
      <c r="E55" s="37"/>
      <c r="F55" s="90"/>
      <c r="G55" s="240"/>
    </row>
    <row r="56" spans="1:7">
      <c r="B56" s="91"/>
      <c r="C56" s="65" t="s">
        <v>131</v>
      </c>
      <c r="D56" s="37"/>
      <c r="E56" s="37"/>
      <c r="F56" s="90"/>
      <c r="G56" s="240"/>
    </row>
    <row r="57" spans="1:7">
      <c r="A57" s="15">
        <v>20300</v>
      </c>
      <c r="C57" s="101" t="s">
        <v>132</v>
      </c>
      <c r="D57" s="102">
        <f>Kompetanse!D7</f>
        <v>7000</v>
      </c>
      <c r="E57" s="102">
        <f>Kompetanse!E7</f>
        <v>211809.8</v>
      </c>
      <c r="F57" s="102">
        <f>Kompetanse!F7</f>
        <v>225000</v>
      </c>
      <c r="G57" s="240"/>
    </row>
    <row r="58" spans="1:7" ht="17.25" thickBot="1">
      <c r="B58" s="91"/>
      <c r="C58" s="94" t="s">
        <v>95</v>
      </c>
      <c r="D58" s="95">
        <f>D57</f>
        <v>7000</v>
      </c>
      <c r="E58" s="95">
        <f>E57</f>
        <v>211809.8</v>
      </c>
      <c r="F58" s="95">
        <f>F57</f>
        <v>225000</v>
      </c>
      <c r="G58" s="240"/>
    </row>
    <row r="59" spans="1:7">
      <c r="B59" s="91"/>
      <c r="D59" s="37"/>
      <c r="E59" s="37"/>
      <c r="F59" s="90"/>
      <c r="G59" s="240"/>
    </row>
    <row r="60" spans="1:7">
      <c r="B60" s="91"/>
      <c r="C60" s="65"/>
      <c r="G60" s="240"/>
    </row>
    <row r="61" spans="1:7">
      <c r="A61" s="378">
        <v>18000</v>
      </c>
      <c r="B61" s="378"/>
      <c r="C61" s="379" t="s">
        <v>133</v>
      </c>
      <c r="D61" s="317" t="str">
        <f>'Budsjett 2025'!D$8</f>
        <v>Rekneskap 2024</v>
      </c>
      <c r="E61" s="317" t="str">
        <f>'Budsjett 2025'!E$8</f>
        <v>Regnskap 2025</v>
      </c>
      <c r="F61" s="317" t="str">
        <f>'Budsjett 2025'!F$8</f>
        <v>Budsjett 2025 rev. 2</v>
      </c>
      <c r="G61" s="240"/>
    </row>
    <row r="62" spans="1:7">
      <c r="C62" s="65"/>
      <c r="D62" s="66"/>
      <c r="E62" s="66"/>
      <c r="F62" s="66"/>
      <c r="G62" s="240"/>
    </row>
    <row r="63" spans="1:7">
      <c r="A63" s="15">
        <v>8051</v>
      </c>
      <c r="C63" s="15" t="s">
        <v>134</v>
      </c>
      <c r="D63" s="251">
        <v>300540.74</v>
      </c>
      <c r="E63" s="23">
        <v>277993</v>
      </c>
      <c r="F63" s="23">
        <v>290000</v>
      </c>
      <c r="G63" s="240"/>
    </row>
    <row r="64" spans="1:7">
      <c r="A64" s="15">
        <v>8079</v>
      </c>
      <c r="C64" s="15" t="s">
        <v>135</v>
      </c>
      <c r="D64" s="251">
        <v>154874.76999999999</v>
      </c>
      <c r="E64" s="23">
        <v>157808.15</v>
      </c>
      <c r="F64" s="23">
        <v>160000</v>
      </c>
      <c r="G64" s="240"/>
    </row>
    <row r="65" spans="1:7">
      <c r="A65" s="15">
        <v>8079</v>
      </c>
      <c r="C65" s="15" t="s">
        <v>136</v>
      </c>
      <c r="D65" s="251">
        <v>57007.27</v>
      </c>
      <c r="E65" s="23">
        <v>82960.899999999994</v>
      </c>
      <c r="F65" s="23">
        <v>60000</v>
      </c>
      <c r="G65" s="240"/>
    </row>
    <row r="66" spans="1:7">
      <c r="A66" s="15">
        <v>8079</v>
      </c>
      <c r="C66" s="15" t="s">
        <v>137</v>
      </c>
      <c r="D66" s="251">
        <v>5274</v>
      </c>
      <c r="E66" s="23">
        <v>5985</v>
      </c>
      <c r="F66" s="23">
        <v>10000</v>
      </c>
      <c r="G66" s="15" t="s">
        <v>138</v>
      </c>
    </row>
    <row r="67" spans="1:7" ht="17.25" thickBot="1">
      <c r="C67" s="94" t="s">
        <v>95</v>
      </c>
      <c r="D67" s="95">
        <f>SUM(D63:D66)</f>
        <v>517696.78</v>
      </c>
      <c r="E67" s="95">
        <f>SUM(E63:E66)</f>
        <v>524747.05000000005</v>
      </c>
      <c r="F67" s="95">
        <f>SUM(F63:F66)</f>
        <v>520000</v>
      </c>
      <c r="G67" s="240"/>
    </row>
    <row r="68" spans="1:7">
      <c r="D68" s="37"/>
      <c r="E68" s="37"/>
      <c r="F68" s="23"/>
      <c r="G68" s="240"/>
    </row>
    <row r="69" spans="1:7">
      <c r="B69" s="91"/>
      <c r="C69" s="65"/>
      <c r="G69" s="240"/>
    </row>
    <row r="70" spans="1:7">
      <c r="A70" s="316"/>
      <c r="B70" s="316"/>
      <c r="C70" s="316" t="s">
        <v>139</v>
      </c>
      <c r="D70" s="317" t="str">
        <f>'Budsjett 2025'!D$8</f>
        <v>Rekneskap 2024</v>
      </c>
      <c r="E70" s="317" t="str">
        <f>'Budsjett 2025'!E$8</f>
        <v>Regnskap 2025</v>
      </c>
      <c r="F70" s="317" t="str">
        <f>'Budsjett 2025'!F$8</f>
        <v>Budsjett 2025 rev. 2</v>
      </c>
      <c r="G70" s="240"/>
    </row>
    <row r="71" spans="1:7">
      <c r="A71" s="65"/>
      <c r="B71" s="65"/>
      <c r="C71" s="65"/>
      <c r="D71" s="66"/>
      <c r="E71" s="66"/>
      <c r="F71" s="66"/>
      <c r="G71" s="240"/>
    </row>
    <row r="72" spans="1:7">
      <c r="A72" s="78" t="s">
        <v>140</v>
      </c>
      <c r="C72" s="15" t="s">
        <v>141</v>
      </c>
      <c r="D72" s="37">
        <v>0</v>
      </c>
      <c r="E72" s="37">
        <v>149837.1</v>
      </c>
      <c r="F72" s="37">
        <v>10000</v>
      </c>
      <c r="G72" s="240" t="s">
        <v>142</v>
      </c>
    </row>
    <row r="73" spans="1:7" ht="17.25" thickBot="1">
      <c r="C73" s="94" t="s">
        <v>95</v>
      </c>
      <c r="D73" s="95">
        <f>SUM(D72:D72)</f>
        <v>0</v>
      </c>
      <c r="E73" s="95">
        <f>SUM(E72:E72)</f>
        <v>149837.1</v>
      </c>
      <c r="F73" s="95">
        <f>SUM(F72:F72)</f>
        <v>10000</v>
      </c>
      <c r="G73" s="240"/>
    </row>
  </sheetData>
  <sheetProtection algorithmName="SHA-512" hashValue="Dbyzbku2e3pNVHTKvijXoCzIja6qHEkokYpLh0YSqRvyiRGLU+bSmQLdWAandja3Kfa9+moG4IqTGjJA17OT0A==" saltValue="EBknDINesnAmWEJgzclhgw==" spinCount="100000" sheet="1" formatCells="0" formatColumns="0" formatRows="0" insertColumns="0" insertRows="0" insertHyperlinks="0" deleteColumns="0" deleteRows="0" sort="0" autoFilter="0" pivotTables="0"/>
  <phoneticPr fontId="7" type="noConversion"/>
  <conditionalFormatting sqref="G67:G1048576 G1:G6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E14C-74DA-4FA7-96E7-A80429610F65}">
  <sheetPr codeName="Ark3">
    <tabColor theme="6" tint="0.59999389629810485"/>
  </sheetPr>
  <dimension ref="A1:J143"/>
  <sheetViews>
    <sheetView showGridLines="0" topLeftCell="B104" zoomScale="110" zoomScaleNormal="120" workbookViewId="0">
      <selection activeCell="G130" sqref="G130"/>
    </sheetView>
  </sheetViews>
  <sheetFormatPr baseColWidth="10" defaultColWidth="11.42578125" defaultRowHeight="17.25"/>
  <cols>
    <col min="1" max="1" width="11.7109375" style="2" customWidth="1"/>
    <col min="2" max="2" width="5.28515625" style="2" customWidth="1"/>
    <col min="3" max="3" width="65.85546875" style="2" bestFit="1" customWidth="1"/>
    <col min="4" max="6" width="25.28515625" style="2" customWidth="1"/>
    <col min="7" max="7" width="51" style="15" bestFit="1" customWidth="1"/>
    <col min="8" max="16384" width="11.42578125" style="2"/>
  </cols>
  <sheetData>
    <row r="1" spans="1:9" ht="21">
      <c r="A1" s="89" t="s">
        <v>26</v>
      </c>
      <c r="B1" s="89"/>
      <c r="D1" s="252"/>
    </row>
    <row r="2" spans="1:9">
      <c r="D2" s="252"/>
    </row>
    <row r="3" spans="1:9">
      <c r="A3" s="70" t="s">
        <v>92</v>
      </c>
      <c r="B3" s="70"/>
      <c r="D3" s="253"/>
      <c r="E3" s="15"/>
      <c r="F3" s="3"/>
    </row>
    <row r="4" spans="1:9">
      <c r="A4" s="380"/>
      <c r="B4" s="380"/>
      <c r="C4" s="381" t="s">
        <v>143</v>
      </c>
      <c r="D4" s="318" t="str">
        <f>'Budsjett 2025'!D8</f>
        <v>Rekneskap 2024</v>
      </c>
      <c r="E4" s="319" t="str">
        <f>'Budsjett 2025'!E$8</f>
        <v>Regnskap 2025</v>
      </c>
      <c r="F4" s="319" t="str">
        <f>'Budsjett 2025'!F$8</f>
        <v>Budsjett 2025 rev. 2</v>
      </c>
    </row>
    <row r="5" spans="1:9">
      <c r="A5" s="15"/>
      <c r="B5" s="15"/>
      <c r="C5" s="65" t="s">
        <v>144</v>
      </c>
      <c r="D5" s="253"/>
      <c r="E5" s="22"/>
      <c r="F5" s="22"/>
    </row>
    <row r="6" spans="1:9">
      <c r="A6" s="109" t="s">
        <v>145</v>
      </c>
      <c r="B6" s="71"/>
      <c r="C6" s="17" t="s">
        <v>146</v>
      </c>
      <c r="D6" s="244">
        <v>60382.93</v>
      </c>
      <c r="E6" s="37">
        <v>2819.75</v>
      </c>
      <c r="F6" s="37">
        <v>20000</v>
      </c>
    </row>
    <row r="7" spans="1:9">
      <c r="A7" s="109" t="s">
        <v>147</v>
      </c>
      <c r="B7" s="71"/>
      <c r="C7" s="17" t="s">
        <v>148</v>
      </c>
      <c r="D7" s="245">
        <v>7000</v>
      </c>
      <c r="E7" s="280">
        <v>211809.8</v>
      </c>
      <c r="F7" s="37">
        <v>225000</v>
      </c>
    </row>
    <row r="8" spans="1:9">
      <c r="A8" s="109" t="s">
        <v>149</v>
      </c>
      <c r="B8" s="71"/>
      <c r="C8" s="17" t="s">
        <v>150</v>
      </c>
      <c r="D8" s="245">
        <v>40180.870000000003</v>
      </c>
      <c r="E8" s="280">
        <v>60088</v>
      </c>
      <c r="F8" s="37">
        <v>65000</v>
      </c>
    </row>
    <row r="9" spans="1:9">
      <c r="A9" s="31"/>
      <c r="B9" s="15"/>
      <c r="C9" s="65"/>
      <c r="D9" s="254">
        <f>SUM(D6:D8)</f>
        <v>107563.79999999999</v>
      </c>
      <c r="E9" s="68">
        <f>SUM(E6:E8)</f>
        <v>274717.55</v>
      </c>
      <c r="F9" s="68">
        <f>SUM(F6:F8)</f>
        <v>310000</v>
      </c>
    </row>
    <row r="10" spans="1:9">
      <c r="A10" s="31"/>
      <c r="B10" s="15"/>
      <c r="C10" s="65" t="s">
        <v>151</v>
      </c>
      <c r="D10" s="253"/>
      <c r="E10" s="22"/>
      <c r="F10" s="22"/>
      <c r="H10" s="25"/>
    </row>
    <row r="11" spans="1:9">
      <c r="A11" s="31">
        <v>20200</v>
      </c>
      <c r="B11" s="15"/>
      <c r="C11" s="15" t="s">
        <v>152</v>
      </c>
      <c r="D11" s="253">
        <v>85488.08</v>
      </c>
      <c r="E11" s="22">
        <v>24769</v>
      </c>
      <c r="F11" s="22">
        <v>60000</v>
      </c>
      <c r="H11" s="286"/>
      <c r="I11" s="286"/>
    </row>
    <row r="12" spans="1:9">
      <c r="A12" s="31">
        <v>20300</v>
      </c>
      <c r="B12" s="15"/>
      <c r="C12" s="15" t="s">
        <v>153</v>
      </c>
      <c r="D12" s="253">
        <v>15871.95</v>
      </c>
      <c r="E12" s="22">
        <v>54432.4</v>
      </c>
      <c r="F12" s="22">
        <v>10000</v>
      </c>
    </row>
    <row r="13" spans="1:9">
      <c r="A13" s="31">
        <v>20250</v>
      </c>
      <c r="B13" s="15"/>
      <c r="C13" s="15" t="s">
        <v>154</v>
      </c>
      <c r="D13" s="253">
        <v>52400.82</v>
      </c>
      <c r="E13" s="22">
        <v>81572.740000000005</v>
      </c>
      <c r="F13" s="22">
        <v>50000</v>
      </c>
    </row>
    <row r="14" spans="1:9">
      <c r="A14" s="31">
        <v>5003</v>
      </c>
      <c r="B14" s="15"/>
      <c r="C14" s="100" t="s">
        <v>155</v>
      </c>
      <c r="D14" s="255">
        <v>1069001.4672246112</v>
      </c>
      <c r="E14" s="108">
        <f>1121083.44+29333.15-11427.82</f>
        <v>1138988.7699999998</v>
      </c>
      <c r="F14" s="108">
        <f>ROUND('Lønns- og personalkostnader'!F4*Årsverk_Kurs_komp_veil/Årsverk_KOMPETANSE,-3)</f>
        <v>1450000</v>
      </c>
      <c r="H14" s="25"/>
    </row>
    <row r="15" spans="1:9">
      <c r="A15" s="31">
        <v>6990</v>
      </c>
      <c r="B15" s="15"/>
      <c r="C15" s="100" t="s">
        <v>156</v>
      </c>
      <c r="D15" s="255">
        <v>431526.32</v>
      </c>
      <c r="E15" s="108">
        <v>297228.71999999997</v>
      </c>
      <c r="F15" s="108">
        <f>ROUND('Fordelte felleskostnader'!F33*Årsverk_Kurs_komp_veil/Årsverk_TOTALT,-3)</f>
        <v>432000</v>
      </c>
    </row>
    <row r="16" spans="1:9">
      <c r="A16" s="33"/>
      <c r="B16" s="33"/>
      <c r="C16" s="33"/>
      <c r="D16" s="254">
        <f>SUM(D11:D15)</f>
        <v>1654288.6372246114</v>
      </c>
      <c r="E16" s="68">
        <f>SUM(E11:E15)</f>
        <v>1596991.6299999997</v>
      </c>
      <c r="F16" s="68">
        <f>SUM(F11:F15)</f>
        <v>2002000</v>
      </c>
    </row>
    <row r="17" spans="1:9" ht="18" thickBot="1">
      <c r="A17" s="65"/>
      <c r="B17" s="65"/>
      <c r="C17" s="98" t="s">
        <v>95</v>
      </c>
      <c r="D17" s="256">
        <f>D9-D16</f>
        <v>-1546724.8372246113</v>
      </c>
      <c r="E17" s="99">
        <f>E9-E16</f>
        <v>-1322274.0799999996</v>
      </c>
      <c r="F17" s="99">
        <f>F9-F16</f>
        <v>-1692000</v>
      </c>
    </row>
    <row r="18" spans="1:9">
      <c r="A18" s="33"/>
      <c r="B18" s="33"/>
      <c r="C18" s="33"/>
      <c r="D18" s="257"/>
      <c r="E18" s="34"/>
      <c r="F18" s="34"/>
    </row>
    <row r="19" spans="1:9">
      <c r="A19" s="33"/>
      <c r="B19" s="33"/>
      <c r="C19" s="33"/>
      <c r="D19" s="257"/>
      <c r="E19" s="34"/>
      <c r="F19" s="34"/>
    </row>
    <row r="20" spans="1:9">
      <c r="A20" s="381">
        <v>21100</v>
      </c>
      <c r="B20" s="381"/>
      <c r="C20" s="381" t="s">
        <v>157</v>
      </c>
      <c r="D20" s="318" t="str">
        <f>regnskap</f>
        <v>Rekneskap 2024</v>
      </c>
      <c r="E20" s="319" t="str">
        <f>'Budsjett 2025'!E$8</f>
        <v>Regnskap 2025</v>
      </c>
      <c r="F20" s="319" t="str">
        <f>'Budsjett 2025'!F$8</f>
        <v>Budsjett 2025 rev. 2</v>
      </c>
    </row>
    <row r="21" spans="1:9">
      <c r="A21" s="15"/>
      <c r="B21" s="15"/>
      <c r="C21" s="65" t="s">
        <v>144</v>
      </c>
      <c r="D21" s="258"/>
      <c r="E21" s="66"/>
      <c r="F21" s="66"/>
    </row>
    <row r="22" spans="1:9">
      <c r="A22" s="31">
        <v>3400</v>
      </c>
      <c r="B22" s="15"/>
      <c r="C22" s="15" t="s">
        <v>158</v>
      </c>
      <c r="D22" s="253">
        <v>818000</v>
      </c>
      <c r="E22" s="22">
        <v>1018000</v>
      </c>
      <c r="F22" s="22">
        <v>818000</v>
      </c>
    </row>
    <row r="23" spans="1:9">
      <c r="A23" s="222">
        <v>3700</v>
      </c>
      <c r="B23" s="69"/>
      <c r="C23" s="15" t="s">
        <v>159</v>
      </c>
      <c r="D23" s="253">
        <v>0</v>
      </c>
      <c r="E23" s="22">
        <v>265680.39</v>
      </c>
      <c r="F23" s="22">
        <v>265680</v>
      </c>
    </row>
    <row r="24" spans="1:9">
      <c r="A24" s="222">
        <v>3401</v>
      </c>
      <c r="B24" s="69"/>
      <c r="C24" s="15" t="s">
        <v>160</v>
      </c>
      <c r="D24" s="250">
        <v>-265680.39</v>
      </c>
      <c r="E24" s="250">
        <v>-200000</v>
      </c>
      <c r="F24" s="22">
        <v>0</v>
      </c>
    </row>
    <row r="25" spans="1:9">
      <c r="A25" s="222">
        <v>3600</v>
      </c>
      <c r="B25" s="69"/>
      <c r="C25" s="15" t="s">
        <v>161</v>
      </c>
      <c r="D25" s="250"/>
      <c r="E25" s="22">
        <v>1166.8699999999999</v>
      </c>
      <c r="F25" s="22">
        <v>0</v>
      </c>
    </row>
    <row r="26" spans="1:9">
      <c r="A26" s="31"/>
      <c r="B26" s="15"/>
      <c r="C26" s="65"/>
      <c r="D26" s="258">
        <f>SUM(D22:D24)</f>
        <v>552319.61</v>
      </c>
      <c r="E26" s="66">
        <f>SUM(E22:E25)</f>
        <v>1084847.2600000002</v>
      </c>
      <c r="F26" s="66">
        <f>SUM(F22:F24)</f>
        <v>1083680</v>
      </c>
    </row>
    <row r="27" spans="1:9">
      <c r="A27" s="31"/>
      <c r="B27" s="15"/>
      <c r="C27" s="65" t="s">
        <v>151</v>
      </c>
      <c r="D27" s="258"/>
      <c r="E27" s="66"/>
      <c r="F27" s="66"/>
      <c r="H27" s="25"/>
    </row>
    <row r="28" spans="1:9">
      <c r="A28" s="31"/>
      <c r="B28" s="15"/>
      <c r="C28" s="15" t="s">
        <v>162</v>
      </c>
      <c r="D28" s="253">
        <f>94153.77+5350</f>
        <v>99503.77</v>
      </c>
      <c r="E28" s="22">
        <v>358866.12</v>
      </c>
      <c r="F28" s="22">
        <f>344680+25000</f>
        <v>369680</v>
      </c>
      <c r="I28" s="25"/>
    </row>
    <row r="29" spans="1:9">
      <c r="A29" s="31">
        <v>5003</v>
      </c>
      <c r="B29" s="15"/>
      <c r="C29" s="100" t="s">
        <v>155</v>
      </c>
      <c r="D29" s="255">
        <v>325539.62</v>
      </c>
      <c r="E29" s="108">
        <v>839615.85</v>
      </c>
      <c r="F29" s="108">
        <f>ROUND('Lønns- og personalkostnader'!F4*Årsverk_Trygg/Årsverk_KOMPETANSE,-3)</f>
        <v>550000</v>
      </c>
    </row>
    <row r="30" spans="1:9">
      <c r="A30" s="31">
        <v>6990</v>
      </c>
      <c r="B30" s="15"/>
      <c r="C30" s="100" t="s">
        <v>156</v>
      </c>
      <c r="D30" s="255">
        <v>127276.22</v>
      </c>
      <c r="E30" s="108">
        <v>219790.69</v>
      </c>
      <c r="F30" s="108">
        <f>ROUND('Fordelte felleskostnader'!F33*Årsverk_Trygg/Årsverk_TOTALT,-3)</f>
        <v>164000</v>
      </c>
    </row>
    <row r="31" spans="1:9">
      <c r="A31" s="15"/>
      <c r="B31" s="15"/>
      <c r="C31" s="15"/>
      <c r="D31" s="254">
        <f>SUM(D28:D30)</f>
        <v>552319.61</v>
      </c>
      <c r="E31" s="68">
        <f>SUM(E28:E30)</f>
        <v>1418272.66</v>
      </c>
      <c r="F31" s="68">
        <f>SUM(F28:F30)</f>
        <v>1083680</v>
      </c>
    </row>
    <row r="32" spans="1:9" ht="18" thickBot="1">
      <c r="A32" s="15"/>
      <c r="B32" s="15"/>
      <c r="C32" s="98" t="s">
        <v>95</v>
      </c>
      <c r="D32" s="256">
        <f>D26-D31</f>
        <v>0</v>
      </c>
      <c r="E32" s="99">
        <f>E26-E31</f>
        <v>-333425.39999999967</v>
      </c>
      <c r="F32" s="99">
        <f>F26-F31</f>
        <v>0</v>
      </c>
    </row>
    <row r="33" spans="1:8">
      <c r="A33" s="15"/>
      <c r="B33" s="15"/>
      <c r="C33" s="15"/>
      <c r="D33" s="253"/>
      <c r="E33" s="15"/>
      <c r="F33" s="15"/>
    </row>
    <row r="34" spans="1:8">
      <c r="A34" s="15"/>
      <c r="B34" s="15"/>
      <c r="C34" s="15"/>
      <c r="D34" s="253"/>
      <c r="E34" s="15"/>
      <c r="F34" s="15"/>
    </row>
    <row r="35" spans="1:8">
      <c r="A35" s="381">
        <v>21200</v>
      </c>
      <c r="B35" s="381"/>
      <c r="C35" s="381" t="s">
        <v>163</v>
      </c>
      <c r="D35" s="318" t="str">
        <f>regnskap</f>
        <v>Rekneskap 2024</v>
      </c>
      <c r="E35" s="319" t="str">
        <f>'Budsjett 2025'!E$8</f>
        <v>Regnskap 2025</v>
      </c>
      <c r="F35" s="319" t="str">
        <f>'Budsjett 2025'!F$8</f>
        <v>Budsjett 2025 rev. 2</v>
      </c>
    </row>
    <row r="36" spans="1:8">
      <c r="A36" s="15"/>
      <c r="B36" s="15"/>
      <c r="C36" s="65" t="s">
        <v>144</v>
      </c>
      <c r="D36" s="258"/>
      <c r="E36" s="66"/>
      <c r="F36" s="66"/>
    </row>
    <row r="37" spans="1:8">
      <c r="A37" s="31">
        <v>3400</v>
      </c>
      <c r="B37" s="15"/>
      <c r="C37" s="15" t="s">
        <v>164</v>
      </c>
      <c r="D37" s="253">
        <v>500000</v>
      </c>
      <c r="E37" s="22">
        <v>500000</v>
      </c>
      <c r="F37" s="22">
        <v>500000</v>
      </c>
      <c r="H37" s="6"/>
    </row>
    <row r="38" spans="1:8">
      <c r="A38" s="31">
        <v>3400</v>
      </c>
      <c r="B38" s="15"/>
      <c r="C38" s="15" t="s">
        <v>165</v>
      </c>
      <c r="D38" s="253">
        <v>40000</v>
      </c>
      <c r="E38" s="22">
        <v>0</v>
      </c>
      <c r="F38" s="22">
        <v>0</v>
      </c>
      <c r="H38" s="6"/>
    </row>
    <row r="39" spans="1:8">
      <c r="A39" s="31">
        <v>3400</v>
      </c>
      <c r="B39" s="15"/>
      <c r="C39" s="15" t="s">
        <v>166</v>
      </c>
      <c r="D39" s="253">
        <v>0</v>
      </c>
      <c r="E39" s="22">
        <v>600000</v>
      </c>
      <c r="F39" s="22">
        <v>600000</v>
      </c>
      <c r="H39" s="6"/>
    </row>
    <row r="40" spans="1:8">
      <c r="A40" s="31">
        <v>3400</v>
      </c>
      <c r="B40" s="15"/>
      <c r="C40" s="15" t="s">
        <v>167</v>
      </c>
      <c r="D40" s="253">
        <v>113400</v>
      </c>
      <c r="E40" s="22">
        <v>0</v>
      </c>
      <c r="F40" s="22">
        <v>0</v>
      </c>
    </row>
    <row r="41" spans="1:8">
      <c r="A41" s="31">
        <v>3401</v>
      </c>
      <c r="B41" s="15"/>
      <c r="C41" s="15" t="s">
        <v>160</v>
      </c>
      <c r="D41" s="253">
        <v>0</v>
      </c>
      <c r="E41" s="294">
        <f>-401088.53+1136.18</f>
        <v>-399952.35000000003</v>
      </c>
      <c r="F41" s="22">
        <v>0</v>
      </c>
      <c r="G41" s="287"/>
      <c r="H41" s="6"/>
    </row>
    <row r="42" spans="1:8">
      <c r="A42" s="222">
        <v>3700</v>
      </c>
      <c r="B42" s="69"/>
      <c r="C42" s="15" t="s">
        <v>159</v>
      </c>
      <c r="D42" s="253">
        <v>0</v>
      </c>
      <c r="E42" s="22">
        <v>0</v>
      </c>
      <c r="F42" s="22">
        <v>0</v>
      </c>
    </row>
    <row r="43" spans="1:8">
      <c r="A43" s="31"/>
      <c r="B43" s="15"/>
      <c r="C43" s="15"/>
      <c r="D43" s="68">
        <f>SUM(D37:D42)</f>
        <v>653400</v>
      </c>
      <c r="E43" s="68">
        <f>SUM(E37:E42)</f>
        <v>700047.64999999991</v>
      </c>
      <c r="F43" s="68">
        <f>SUM(F37:F42)</f>
        <v>1100000</v>
      </c>
    </row>
    <row r="44" spans="1:8">
      <c r="A44" s="31"/>
      <c r="B44" s="15"/>
      <c r="C44" s="65" t="s">
        <v>151</v>
      </c>
      <c r="E44" s="15"/>
      <c r="F44" s="15"/>
      <c r="H44" s="25"/>
    </row>
    <row r="45" spans="1:8">
      <c r="A45" s="31"/>
      <c r="B45" s="15"/>
      <c r="C45" s="15" t="s">
        <v>162</v>
      </c>
      <c r="D45" s="253">
        <v>26982.339999999997</v>
      </c>
      <c r="E45" s="22">
        <v>5130.3999999999996</v>
      </c>
      <c r="F45" s="22">
        <f>112000+125000</f>
        <v>237000</v>
      </c>
    </row>
    <row r="46" spans="1:8">
      <c r="A46" s="31"/>
      <c r="B46" s="15"/>
      <c r="C46" s="15" t="s">
        <v>168</v>
      </c>
      <c r="D46" s="253">
        <v>24215.9</v>
      </c>
      <c r="E46" s="22">
        <v>0</v>
      </c>
      <c r="F46" s="22">
        <v>0</v>
      </c>
    </row>
    <row r="47" spans="1:8">
      <c r="A47" s="31"/>
      <c r="B47" s="15"/>
      <c r="C47" s="15" t="s">
        <v>169</v>
      </c>
      <c r="D47" s="2">
        <v>0</v>
      </c>
      <c r="E47" s="22">
        <v>100000</v>
      </c>
      <c r="F47" s="22">
        <v>200000</v>
      </c>
      <c r="G47" s="288"/>
    </row>
    <row r="48" spans="1:8">
      <c r="A48" s="31">
        <v>5003</v>
      </c>
      <c r="B48" s="15"/>
      <c r="C48" s="100" t="s">
        <v>155</v>
      </c>
      <c r="D48" s="108">
        <v>483790.98</v>
      </c>
      <c r="E48" s="108">
        <v>471650.44</v>
      </c>
      <c r="F48" s="108">
        <f>ROUND('Lønns- og personalkostnader'!F4*Årsverk_Flere_med/Årsverk_KOMPETANSE,-3)</f>
        <v>511000</v>
      </c>
    </row>
    <row r="49" spans="1:9">
      <c r="A49" s="31">
        <v>6990</v>
      </c>
      <c r="B49" s="15"/>
      <c r="C49" s="100" t="s">
        <v>156</v>
      </c>
      <c r="D49" s="108">
        <v>188792.77</v>
      </c>
      <c r="E49" s="108">
        <v>123266.81</v>
      </c>
      <c r="F49" s="108">
        <f>ROUND('Fordelte felleskostnader'!F33*Årsverk_Flere_med/Årsverk_TOTALT,-3)</f>
        <v>152000</v>
      </c>
    </row>
    <row r="50" spans="1:9">
      <c r="A50" s="15"/>
      <c r="B50" s="15"/>
      <c r="C50" s="15"/>
      <c r="D50" s="68">
        <f>SUM(D45:D49)</f>
        <v>723781.99</v>
      </c>
      <c r="E50" s="68">
        <f>SUM(E45:E49)</f>
        <v>700047.64999999991</v>
      </c>
      <c r="F50" s="68">
        <f>SUM(F45:F49)</f>
        <v>1100000</v>
      </c>
    </row>
    <row r="51" spans="1:9" ht="18" thickBot="1">
      <c r="A51" s="15"/>
      <c r="B51" s="15"/>
      <c r="C51" s="98" t="s">
        <v>95</v>
      </c>
      <c r="D51" s="99">
        <f>D43-D50</f>
        <v>-70381.989999999991</v>
      </c>
      <c r="E51" s="99">
        <f>E43-E50</f>
        <v>0</v>
      </c>
      <c r="F51" s="99">
        <f>F43-F50</f>
        <v>0</v>
      </c>
      <c r="G51" s="22"/>
    </row>
    <row r="52" spans="1:9">
      <c r="A52" s="15"/>
      <c r="B52" s="15"/>
      <c r="C52" s="15"/>
      <c r="D52" s="253"/>
      <c r="E52" s="15"/>
      <c r="F52" s="15"/>
    </row>
    <row r="53" spans="1:9">
      <c r="A53" s="15"/>
      <c r="B53" s="15"/>
      <c r="C53" s="15"/>
      <c r="D53" s="253"/>
      <c r="E53" s="15"/>
      <c r="F53" s="15"/>
    </row>
    <row r="54" spans="1:9">
      <c r="A54" s="382">
        <v>21300</v>
      </c>
      <c r="B54" s="381"/>
      <c r="C54" s="381" t="s">
        <v>170</v>
      </c>
      <c r="D54" s="318" t="str">
        <f>'Budsjett 2025'!D8</f>
        <v>Rekneskap 2024</v>
      </c>
      <c r="E54" s="319" t="str">
        <f>'Budsjett 2025'!E$8</f>
        <v>Regnskap 2025</v>
      </c>
      <c r="F54" s="319" t="str">
        <f>'Budsjett 2025'!F$8</f>
        <v>Budsjett 2025 rev. 2</v>
      </c>
      <c r="G54" s="65"/>
    </row>
    <row r="55" spans="1:9">
      <c r="A55" s="15"/>
      <c r="B55" s="15"/>
      <c r="C55" s="65" t="s">
        <v>144</v>
      </c>
      <c r="D55" s="258"/>
      <c r="E55" s="66"/>
      <c r="F55" s="66"/>
    </row>
    <row r="56" spans="1:9">
      <c r="A56" s="31">
        <v>3400</v>
      </c>
      <c r="B56" s="15"/>
      <c r="C56" s="15" t="s">
        <v>171</v>
      </c>
      <c r="D56" s="253">
        <v>270000</v>
      </c>
      <c r="E56" s="22">
        <v>1000000</v>
      </c>
      <c r="F56" s="22">
        <v>500000</v>
      </c>
    </row>
    <row r="57" spans="1:9">
      <c r="A57" s="31">
        <v>3400</v>
      </c>
      <c r="B57" s="15"/>
      <c r="C57" s="15" t="s">
        <v>172</v>
      </c>
      <c r="D57" s="253">
        <v>0</v>
      </c>
      <c r="E57" s="22">
        <v>150000</v>
      </c>
      <c r="F57" s="22">
        <v>150000</v>
      </c>
      <c r="I57" s="25"/>
    </row>
    <row r="58" spans="1:9">
      <c r="A58" s="222">
        <v>3700</v>
      </c>
      <c r="B58" s="69"/>
      <c r="C58" s="15" t="s">
        <v>159</v>
      </c>
      <c r="D58" s="253">
        <v>0</v>
      </c>
      <c r="E58" s="22">
        <v>99004</v>
      </c>
      <c r="F58" s="22">
        <v>99004</v>
      </c>
    </row>
    <row r="59" spans="1:9">
      <c r="A59" s="222">
        <v>3401</v>
      </c>
      <c r="B59" s="69"/>
      <c r="C59" s="15" t="s">
        <v>160</v>
      </c>
      <c r="D59" s="250">
        <v>-99004</v>
      </c>
      <c r="E59" s="250">
        <v>-500000</v>
      </c>
      <c r="F59" s="67"/>
    </row>
    <row r="60" spans="1:9">
      <c r="A60" s="31"/>
      <c r="B60" s="15"/>
      <c r="C60" s="65"/>
      <c r="D60" s="258">
        <f>SUM(D56:D59)</f>
        <v>170996</v>
      </c>
      <c r="E60" s="66">
        <f>SUM(E56:E59)</f>
        <v>749004</v>
      </c>
      <c r="F60" s="66">
        <f>SUM(F56:F59)</f>
        <v>749004</v>
      </c>
    </row>
    <row r="61" spans="1:9">
      <c r="A61" s="31"/>
      <c r="B61" s="15"/>
      <c r="C61" s="65" t="s">
        <v>151</v>
      </c>
      <c r="D61" s="258"/>
      <c r="E61" s="66"/>
      <c r="F61" s="66"/>
    </row>
    <row r="62" spans="1:9">
      <c r="A62" s="31"/>
      <c r="B62" s="15"/>
      <c r="C62" s="15" t="s">
        <v>162</v>
      </c>
      <c r="D62" s="253">
        <v>181</v>
      </c>
      <c r="E62" s="22">
        <v>193009.72</v>
      </c>
      <c r="F62" s="22">
        <f>276004-108000</f>
        <v>168004</v>
      </c>
    </row>
    <row r="63" spans="1:9">
      <c r="A63" s="31">
        <v>5003</v>
      </c>
      <c r="B63" s="15"/>
      <c r="C63" s="100" t="s">
        <v>155</v>
      </c>
      <c r="D63" s="255">
        <v>122867.55</v>
      </c>
      <c r="E63" s="108">
        <v>511520.99</v>
      </c>
      <c r="F63" s="108">
        <f>ROUND('Lønns- og personalkostnader'!F4*Årsverk_HatHets/Årsverk_KOMPETANSE,-3)</f>
        <v>448000</v>
      </c>
    </row>
    <row r="64" spans="1:9">
      <c r="A64" s="31">
        <v>6990</v>
      </c>
      <c r="B64" s="15"/>
      <c r="C64" s="100" t="s">
        <v>156</v>
      </c>
      <c r="D64" s="255">
        <v>47947.37</v>
      </c>
      <c r="E64" s="108">
        <v>133691.35999999999</v>
      </c>
      <c r="F64" s="108">
        <f>ROUND('Fordelte felleskostnader'!F33*Årsverk_HatHets/Årsverk_TOTALT,-3)</f>
        <v>133000</v>
      </c>
    </row>
    <row r="65" spans="1:7">
      <c r="A65" s="15"/>
      <c r="B65" s="15"/>
      <c r="C65" s="15"/>
      <c r="D65" s="254">
        <f>SUM(D62:D64)</f>
        <v>170995.92</v>
      </c>
      <c r="E65" s="68">
        <f>SUM(E62:E64)</f>
        <v>838222.07</v>
      </c>
      <c r="F65" s="68">
        <f>SUM(F62:F64)</f>
        <v>749004</v>
      </c>
    </row>
    <row r="66" spans="1:7" ht="18" thickBot="1">
      <c r="A66" s="15"/>
      <c r="B66" s="15"/>
      <c r="C66" s="98" t="s">
        <v>95</v>
      </c>
      <c r="D66" s="256">
        <f>D60-D65</f>
        <v>7.9999999987194315E-2</v>
      </c>
      <c r="E66" s="99">
        <f>E60-E65</f>
        <v>-89218.069999999949</v>
      </c>
      <c r="F66" s="99">
        <f>F60-F65</f>
        <v>0</v>
      </c>
    </row>
    <row r="67" spans="1:7">
      <c r="A67" s="15"/>
      <c r="B67" s="15"/>
      <c r="C67" s="15"/>
      <c r="D67" s="253"/>
      <c r="E67" s="15"/>
      <c r="F67" s="15"/>
    </row>
    <row r="68" spans="1:7">
      <c r="A68" s="15"/>
      <c r="B68" s="15"/>
      <c r="C68" s="15"/>
      <c r="D68" s="253"/>
      <c r="E68" s="15"/>
      <c r="F68" s="15"/>
    </row>
    <row r="69" spans="1:7">
      <c r="A69" s="383"/>
      <c r="B69" s="383"/>
      <c r="C69" s="381" t="s">
        <v>173</v>
      </c>
      <c r="D69" s="318" t="str">
        <f>'Budsjett 2025'!D8</f>
        <v>Rekneskap 2024</v>
      </c>
      <c r="E69" s="319" t="str">
        <f>'Budsjett 2025'!E$8</f>
        <v>Regnskap 2025</v>
      </c>
      <c r="F69" s="319" t="str">
        <f>'Budsjett 2025'!F$8</f>
        <v>Budsjett 2025 rev. 2</v>
      </c>
    </row>
    <row r="70" spans="1:7">
      <c r="A70" s="31">
        <v>25000</v>
      </c>
      <c r="B70" s="15"/>
      <c r="C70" s="65" t="s">
        <v>144</v>
      </c>
      <c r="D70" s="258"/>
      <c r="E70" s="66"/>
      <c r="F70" s="66"/>
    </row>
    <row r="71" spans="1:7">
      <c r="A71" s="31">
        <v>3400</v>
      </c>
      <c r="B71" s="15"/>
      <c r="C71" s="15" t="s">
        <v>174</v>
      </c>
      <c r="D71" s="253">
        <v>490000</v>
      </c>
      <c r="E71" s="22">
        <f>484937-81490.13</f>
        <v>403446.87</v>
      </c>
      <c r="F71" s="36">
        <v>484937</v>
      </c>
    </row>
    <row r="72" spans="1:7">
      <c r="A72" s="222">
        <v>3700</v>
      </c>
      <c r="B72" s="69"/>
      <c r="C72" s="15" t="s">
        <v>159</v>
      </c>
      <c r="D72" s="253">
        <v>115557.39</v>
      </c>
      <c r="E72" s="22">
        <v>0</v>
      </c>
      <c r="F72" s="22">
        <v>0</v>
      </c>
    </row>
    <row r="73" spans="1:7">
      <c r="A73" s="222">
        <v>3401</v>
      </c>
      <c r="B73" s="69"/>
      <c r="C73" s="15" t="s">
        <v>160</v>
      </c>
      <c r="D73" s="259">
        <v>0</v>
      </c>
      <c r="E73" s="250">
        <v>-109595.93</v>
      </c>
      <c r="F73" s="22">
        <v>0</v>
      </c>
    </row>
    <row r="74" spans="1:7">
      <c r="A74" s="31"/>
      <c r="B74" s="15"/>
      <c r="C74" s="65"/>
      <c r="D74" s="258">
        <f>SUM(D71:D73)</f>
        <v>605557.39</v>
      </c>
      <c r="E74" s="66">
        <f>SUM(E71:E73)</f>
        <v>293850.94</v>
      </c>
      <c r="F74" s="66">
        <f>SUM(F71:F73)</f>
        <v>484937</v>
      </c>
    </row>
    <row r="75" spans="1:7">
      <c r="A75" s="31"/>
      <c r="B75" s="15"/>
      <c r="C75" s="65" t="s">
        <v>151</v>
      </c>
      <c r="D75" s="258"/>
      <c r="E75" s="66"/>
      <c r="F75" s="66"/>
    </row>
    <row r="76" spans="1:7">
      <c r="A76" s="31">
        <v>25000</v>
      </c>
      <c r="B76" s="15"/>
      <c r="C76" s="5" t="s">
        <v>175</v>
      </c>
      <c r="D76" s="260">
        <v>25000</v>
      </c>
      <c r="E76" s="233">
        <v>40450</v>
      </c>
      <c r="F76" s="22">
        <v>25000</v>
      </c>
    </row>
    <row r="77" spans="1:7">
      <c r="A77" s="31">
        <v>25010</v>
      </c>
      <c r="B77" s="15"/>
      <c r="C77" s="5" t="s">
        <v>176</v>
      </c>
      <c r="D77" s="260">
        <v>62771.86</v>
      </c>
      <c r="E77" s="233">
        <v>16684.75</v>
      </c>
      <c r="F77" s="22">
        <v>35000</v>
      </c>
      <c r="G77" s="22"/>
    </row>
    <row r="78" spans="1:7">
      <c r="A78" s="31">
        <v>25020</v>
      </c>
      <c r="B78" s="15"/>
      <c r="C78" s="5" t="s">
        <v>177</v>
      </c>
      <c r="D78" s="260">
        <f>84863.57+1080+350+750</f>
        <v>87043.57</v>
      </c>
      <c r="E78" s="233">
        <v>77026</v>
      </c>
      <c r="F78" s="22">
        <f>80000-2063</f>
        <v>77937</v>
      </c>
    </row>
    <row r="79" spans="1:7">
      <c r="A79" s="31">
        <v>25030</v>
      </c>
      <c r="B79" s="15"/>
      <c r="C79" s="5" t="s">
        <v>178</v>
      </c>
      <c r="D79" s="260">
        <v>74760.490000000005</v>
      </c>
      <c r="E79" s="233">
        <v>16581.25</v>
      </c>
      <c r="F79" s="22">
        <f>20000</f>
        <v>20000</v>
      </c>
    </row>
    <row r="80" spans="1:7">
      <c r="A80" s="31">
        <v>5003</v>
      </c>
      <c r="B80" s="15"/>
      <c r="C80" s="100" t="s">
        <v>155</v>
      </c>
      <c r="D80" s="255">
        <v>374418.29</v>
      </c>
      <c r="E80" s="108">
        <v>141521.81</v>
      </c>
      <c r="F80" s="108">
        <f>ROUND('Lønns- og personalkostnader'!F4*Årsverk_Bærekraft_prosjekt/Årsverk_KOMPETANSE,-3)</f>
        <v>252000</v>
      </c>
    </row>
    <row r="81" spans="1:10">
      <c r="A81" s="31">
        <v>6990</v>
      </c>
      <c r="B81" s="15"/>
      <c r="C81" s="100" t="s">
        <v>156</v>
      </c>
      <c r="D81" s="255">
        <v>160578.6</v>
      </c>
      <c r="E81" s="108">
        <v>37901.370000000003</v>
      </c>
      <c r="F81" s="108">
        <f>ROUND('Fordelte felleskostnader'!F33*Årsverk_Bærekraft_prosjekt/Årsverk_TOTALT,-3)</f>
        <v>75000</v>
      </c>
      <c r="H81" s="15"/>
      <c r="I81" s="15"/>
      <c r="J81" s="15"/>
    </row>
    <row r="82" spans="1:10">
      <c r="D82" s="258">
        <f>SUM(D76:D81)</f>
        <v>784572.80999999994</v>
      </c>
      <c r="E82" s="66">
        <f>SUM(E76:E81)</f>
        <v>330165.18</v>
      </c>
      <c r="F82" s="66">
        <f>SUM(F76:F81)</f>
        <v>484937</v>
      </c>
    </row>
    <row r="83" spans="1:10" ht="18" thickBot="1">
      <c r="A83" s="15"/>
      <c r="B83" s="15"/>
      <c r="C83" s="98" t="s">
        <v>95</v>
      </c>
      <c r="D83" s="99">
        <f>D74-D82</f>
        <v>-179015.41999999993</v>
      </c>
      <c r="E83" s="99">
        <f>E74-E82</f>
        <v>-36314.239999999991</v>
      </c>
      <c r="F83" s="99">
        <f>F74-F82</f>
        <v>0</v>
      </c>
      <c r="G83" s="22"/>
    </row>
    <row r="84" spans="1:10">
      <c r="D84" s="252"/>
    </row>
    <row r="85" spans="1:10">
      <c r="D85" s="252"/>
    </row>
    <row r="86" spans="1:10">
      <c r="A86" s="381">
        <v>21400</v>
      </c>
      <c r="B86" s="383"/>
      <c r="C86" s="381" t="s">
        <v>179</v>
      </c>
      <c r="D86" s="318" t="str">
        <f>'Budsjett 2025'!D8</f>
        <v>Rekneskap 2024</v>
      </c>
      <c r="E86" s="319" t="str">
        <f>'Budsjett 2025'!E$8</f>
        <v>Regnskap 2025</v>
      </c>
      <c r="F86" s="319" t="str">
        <f>'Budsjett 2025'!F$8</f>
        <v>Budsjett 2025 rev. 2</v>
      </c>
    </row>
    <row r="87" spans="1:10">
      <c r="A87" s="31"/>
      <c r="B87" s="15"/>
      <c r="C87" s="65" t="s">
        <v>144</v>
      </c>
      <c r="D87" s="258"/>
      <c r="E87" s="66"/>
      <c r="F87" s="66"/>
    </row>
    <row r="88" spans="1:10">
      <c r="A88" s="31">
        <v>3400</v>
      </c>
      <c r="B88" s="15"/>
      <c r="C88" s="15" t="s">
        <v>180</v>
      </c>
      <c r="D88" s="253">
        <v>320000</v>
      </c>
      <c r="E88" s="22">
        <v>330000</v>
      </c>
      <c r="F88" s="22">
        <v>330000</v>
      </c>
    </row>
    <row r="89" spans="1:10">
      <c r="A89" s="31">
        <v>3700</v>
      </c>
      <c r="B89" s="15"/>
      <c r="C89" s="15" t="s">
        <v>159</v>
      </c>
      <c r="D89" s="253">
        <v>86718.85</v>
      </c>
      <c r="E89" s="22">
        <v>2152</v>
      </c>
      <c r="F89" s="22">
        <v>2152</v>
      </c>
    </row>
    <row r="90" spans="1:10">
      <c r="A90" s="222">
        <v>3401</v>
      </c>
      <c r="B90" s="69"/>
      <c r="C90" s="15" t="s">
        <v>160</v>
      </c>
      <c r="D90" s="259">
        <v>-2152</v>
      </c>
      <c r="E90" s="259">
        <v>-29950.09</v>
      </c>
      <c r="F90" s="22">
        <v>0</v>
      </c>
    </row>
    <row r="91" spans="1:10">
      <c r="A91" s="31"/>
      <c r="B91" s="15"/>
      <c r="C91" s="65"/>
      <c r="D91" s="258">
        <f>SUM(D88:D90)</f>
        <v>404566.85</v>
      </c>
      <c r="E91" s="66">
        <f>SUM(E88:E90)</f>
        <v>302201.90999999997</v>
      </c>
      <c r="F91" s="66">
        <f>SUM(F88:F90)</f>
        <v>332152</v>
      </c>
    </row>
    <row r="92" spans="1:10">
      <c r="A92" s="31"/>
      <c r="B92" s="15"/>
      <c r="C92" s="65" t="s">
        <v>151</v>
      </c>
      <c r="D92" s="258"/>
      <c r="E92" s="66"/>
      <c r="F92" s="66"/>
    </row>
    <row r="93" spans="1:10">
      <c r="A93" s="31">
        <v>26900</v>
      </c>
      <c r="B93" s="15"/>
      <c r="C93" s="15" t="s">
        <v>181</v>
      </c>
      <c r="D93" s="260">
        <v>393890.95</v>
      </c>
      <c r="E93" s="32">
        <v>302201.90999999997</v>
      </c>
      <c r="F93" s="22">
        <f>282152+19000</f>
        <v>301152</v>
      </c>
    </row>
    <row r="94" spans="1:10">
      <c r="A94" s="31">
        <v>5003</v>
      </c>
      <c r="B94" s="15"/>
      <c r="C94" s="100" t="s">
        <v>155</v>
      </c>
      <c r="D94" s="255">
        <v>7679.22</v>
      </c>
      <c r="E94" s="108">
        <v>0</v>
      </c>
      <c r="F94" s="108">
        <f>ROUND('Lønns- og personalkostnader'!F4*Årsverk_Lokaler/Årsverk_KOMPETANSE,-3)</f>
        <v>24000</v>
      </c>
    </row>
    <row r="95" spans="1:10">
      <c r="A95" s="31">
        <v>6990</v>
      </c>
      <c r="B95" s="15"/>
      <c r="C95" s="100" t="s">
        <v>156</v>
      </c>
      <c r="D95" s="255">
        <v>2997.71</v>
      </c>
      <c r="E95" s="108">
        <v>0</v>
      </c>
      <c r="F95" s="108">
        <f>ROUND('Fordelte felleskostnader'!F33*Årsverk_Lokaler/Årsverk_TOTALT,-3)</f>
        <v>7000</v>
      </c>
    </row>
    <row r="96" spans="1:10">
      <c r="D96" s="258">
        <f>SUM(D93:D95)</f>
        <v>404567.88</v>
      </c>
      <c r="E96" s="66">
        <f>SUM(E93:E95)</f>
        <v>302201.90999999997</v>
      </c>
      <c r="F96" s="66">
        <f>SUM(F93:F95)</f>
        <v>332152</v>
      </c>
    </row>
    <row r="97" spans="1:7" ht="18" thickBot="1">
      <c r="A97" s="15"/>
      <c r="B97" s="15"/>
      <c r="C97" s="98" t="s">
        <v>95</v>
      </c>
      <c r="D97" s="256">
        <f>D91-D96</f>
        <v>-1.0300000000279397</v>
      </c>
      <c r="E97" s="99">
        <f>E91-E96</f>
        <v>0</v>
      </c>
      <c r="F97" s="99">
        <f>F91-F96</f>
        <v>0</v>
      </c>
    </row>
    <row r="98" spans="1:7">
      <c r="A98" s="15"/>
      <c r="B98" s="15"/>
      <c r="C98" s="65"/>
      <c r="D98" s="258"/>
      <c r="E98" s="66"/>
      <c r="F98" s="66"/>
    </row>
    <row r="99" spans="1:7">
      <c r="D99" s="252"/>
    </row>
    <row r="100" spans="1:7">
      <c r="A100" s="381">
        <v>21500</v>
      </c>
      <c r="B100" s="383"/>
      <c r="C100" s="381" t="s">
        <v>182</v>
      </c>
      <c r="D100" s="318" t="str">
        <f>'Budsjett 2025'!D8</f>
        <v>Rekneskap 2024</v>
      </c>
      <c r="E100" s="319" t="str">
        <f>'Budsjett 2025'!E$8</f>
        <v>Regnskap 2025</v>
      </c>
      <c r="F100" s="319" t="str">
        <f>'Budsjett 2025'!F$8</f>
        <v>Budsjett 2025 rev. 2</v>
      </c>
      <c r="G100" s="15" t="s">
        <v>183</v>
      </c>
    </row>
    <row r="101" spans="1:7">
      <c r="A101" s="31"/>
      <c r="B101" s="15"/>
      <c r="C101" s="65" t="s">
        <v>144</v>
      </c>
      <c r="D101" s="258"/>
      <c r="E101" s="66"/>
      <c r="F101" s="66"/>
    </row>
    <row r="102" spans="1:7">
      <c r="A102" s="31">
        <v>3400</v>
      </c>
      <c r="B102" s="15"/>
      <c r="C102" s="15" t="s">
        <v>184</v>
      </c>
      <c r="D102" s="253">
        <v>73412</v>
      </c>
      <c r="E102" s="22">
        <v>35080.36</v>
      </c>
      <c r="F102" s="22">
        <v>38000</v>
      </c>
    </row>
    <row r="103" spans="1:7">
      <c r="A103" s="31"/>
      <c r="B103" s="15"/>
      <c r="C103" s="65"/>
      <c r="D103" s="258">
        <f>SUM(D102)</f>
        <v>73412</v>
      </c>
      <c r="E103" s="66">
        <f>SUM(E102:E102)</f>
        <v>35080.36</v>
      </c>
      <c r="F103" s="66">
        <f>SUM(F102:F102)</f>
        <v>38000</v>
      </c>
    </row>
    <row r="104" spans="1:7">
      <c r="A104" s="31"/>
      <c r="B104" s="15"/>
      <c r="C104" s="65" t="s">
        <v>151</v>
      </c>
      <c r="D104" s="258"/>
      <c r="E104" s="66"/>
      <c r="F104" s="66"/>
    </row>
    <row r="105" spans="1:7">
      <c r="A105" s="31">
        <v>28400</v>
      </c>
      <c r="B105" s="15"/>
      <c r="C105" s="5" t="s">
        <v>162</v>
      </c>
      <c r="D105" s="260">
        <v>68809</v>
      </c>
      <c r="E105" s="32">
        <v>27386.68</v>
      </c>
      <c r="F105" s="22">
        <v>12000</v>
      </c>
      <c r="G105" s="15" t="s">
        <v>185</v>
      </c>
    </row>
    <row r="106" spans="1:7">
      <c r="A106" s="31">
        <v>5003</v>
      </c>
      <c r="B106" s="15"/>
      <c r="C106" s="100" t="s">
        <v>155</v>
      </c>
      <c r="D106" s="255">
        <v>53755</v>
      </c>
      <c r="E106" s="108">
        <v>159520.99</v>
      </c>
      <c r="F106" s="108">
        <f>ROUND('Lønns- og personalkostnader'!F4*Årsverk_NN/Årsverk_KOMPETANSE,-3)</f>
        <v>20000</v>
      </c>
    </row>
    <row r="107" spans="1:7">
      <c r="A107" s="31">
        <v>6990</v>
      </c>
      <c r="B107" s="15"/>
      <c r="C107" s="100" t="s">
        <v>156</v>
      </c>
      <c r="D107" s="255">
        <v>20977</v>
      </c>
      <c r="E107" s="108">
        <v>41706.639999999999</v>
      </c>
      <c r="F107" s="108">
        <f>ROUND('Fordelte felleskostnader'!F33*Årsverk_NN/Årsverk_TOTALT,-3)</f>
        <v>6000</v>
      </c>
    </row>
    <row r="108" spans="1:7">
      <c r="D108" s="258">
        <f>SUM(D105:D107)</f>
        <v>143541</v>
      </c>
      <c r="E108" s="66">
        <f>SUM(E105:E107)</f>
        <v>228614.31</v>
      </c>
      <c r="F108" s="66">
        <f>SUM(F105:F107)</f>
        <v>38000</v>
      </c>
    </row>
    <row r="109" spans="1:7" ht="18" thickBot="1">
      <c r="A109" s="15"/>
      <c r="B109" s="15"/>
      <c r="C109" s="98" t="s">
        <v>95</v>
      </c>
      <c r="D109" s="256">
        <f>D103-D108</f>
        <v>-70129</v>
      </c>
      <c r="E109" s="99">
        <f>E103-E108</f>
        <v>-193533.95</v>
      </c>
      <c r="F109" s="99">
        <f>F103-F108</f>
        <v>0</v>
      </c>
    </row>
    <row r="110" spans="1:7">
      <c r="A110" s="15"/>
      <c r="B110" s="15"/>
      <c r="C110" s="65"/>
      <c r="D110" s="66"/>
      <c r="E110" s="66"/>
      <c r="F110" s="66"/>
    </row>
    <row r="111" spans="1:7">
      <c r="A111" s="15"/>
      <c r="B111" s="15"/>
      <c r="C111" s="65"/>
      <c r="D111" s="258"/>
      <c r="E111" s="66"/>
      <c r="F111" s="66"/>
    </row>
    <row r="112" spans="1:7">
      <c r="A112" s="381">
        <v>28400</v>
      </c>
      <c r="B112" s="383"/>
      <c r="C112" s="381" t="s">
        <v>186</v>
      </c>
      <c r="D112" s="320" t="str">
        <f>'Budsjett 2025'!D8</f>
        <v>Rekneskap 2024</v>
      </c>
      <c r="E112" s="384" t="str">
        <f>'Budsjett 2025'!E$8</f>
        <v>Regnskap 2025</v>
      </c>
      <c r="F112" s="319" t="str">
        <f>'Budsjett 2025'!F$8</f>
        <v>Budsjett 2025 rev. 2</v>
      </c>
      <c r="G112" s="15" t="s">
        <v>187</v>
      </c>
    </row>
    <row r="113" spans="1:6">
      <c r="A113" s="31"/>
      <c r="B113" s="15"/>
      <c r="C113" s="65" t="s">
        <v>144</v>
      </c>
      <c r="D113" s="249"/>
      <c r="E113" s="66"/>
      <c r="F113" s="66"/>
    </row>
    <row r="114" spans="1:6">
      <c r="A114" s="31">
        <v>3400</v>
      </c>
      <c r="B114" s="15"/>
      <c r="C114" s="15" t="s">
        <v>188</v>
      </c>
      <c r="D114" s="243">
        <v>350000</v>
      </c>
      <c r="E114" s="22">
        <v>0</v>
      </c>
      <c r="F114" s="22">
        <v>0</v>
      </c>
    </row>
    <row r="115" spans="1:6">
      <c r="A115" s="31"/>
      <c r="B115" s="15"/>
      <c r="C115" s="65"/>
      <c r="D115" s="249">
        <f>SUM(D114:D114)</f>
        <v>350000</v>
      </c>
      <c r="E115" s="66">
        <f>SUM(E114:E114)</f>
        <v>0</v>
      </c>
      <c r="F115" s="66">
        <f>SUM(F114:F114)</f>
        <v>0</v>
      </c>
    </row>
    <row r="116" spans="1:6">
      <c r="A116" s="31"/>
      <c r="B116" s="15"/>
      <c r="C116" s="65" t="s">
        <v>151</v>
      </c>
      <c r="D116" s="249"/>
      <c r="E116" s="66"/>
      <c r="F116" s="66"/>
    </row>
    <row r="117" spans="1:6">
      <c r="A117" s="31">
        <v>28400</v>
      </c>
      <c r="B117" s="15"/>
      <c r="C117" s="5" t="s">
        <v>189</v>
      </c>
      <c r="D117" s="243">
        <v>44000.97</v>
      </c>
      <c r="E117" s="32">
        <v>68223</v>
      </c>
      <c r="F117" s="22">
        <v>68223</v>
      </c>
    </row>
    <row r="118" spans="1:6">
      <c r="A118" s="31">
        <v>28400</v>
      </c>
      <c r="B118" s="15"/>
      <c r="C118" s="5" t="s">
        <v>190</v>
      </c>
      <c r="D118" s="243">
        <v>117622.75</v>
      </c>
      <c r="E118" s="32">
        <f>90245.98-E117-416</f>
        <v>21606.979999999996</v>
      </c>
      <c r="F118" s="22">
        <v>22023</v>
      </c>
    </row>
    <row r="119" spans="1:6">
      <c r="A119" s="31">
        <v>5003</v>
      </c>
      <c r="B119" s="15"/>
      <c r="C119" s="100" t="s">
        <v>155</v>
      </c>
      <c r="D119" s="247">
        <v>238055.88</v>
      </c>
      <c r="E119" s="108">
        <v>23355.9</v>
      </c>
      <c r="F119" s="108">
        <v>0</v>
      </c>
    </row>
    <row r="120" spans="1:6">
      <c r="A120" s="31">
        <v>6990</v>
      </c>
      <c r="B120" s="15"/>
      <c r="C120" s="100" t="s">
        <v>156</v>
      </c>
      <c r="D120" s="247">
        <v>92898.03</v>
      </c>
      <c r="E120" s="108">
        <v>6131.03</v>
      </c>
      <c r="F120" s="108">
        <v>0</v>
      </c>
    </row>
    <row r="121" spans="1:6">
      <c r="D121" s="249">
        <f>SUM(D117:D120)</f>
        <v>492577.63</v>
      </c>
      <c r="E121" s="66">
        <f>SUM(E117:E120)</f>
        <v>119316.91</v>
      </c>
      <c r="F121" s="66">
        <f>SUM(F117:F120)</f>
        <v>90246</v>
      </c>
    </row>
    <row r="122" spans="1:6" ht="18" thickBot="1">
      <c r="A122" s="15"/>
      <c r="B122" s="15"/>
      <c r="C122" s="98" t="s">
        <v>95</v>
      </c>
      <c r="D122" s="99">
        <f>D115-D121</f>
        <v>-142577.63</v>
      </c>
      <c r="E122" s="99">
        <f>E115-E121</f>
        <v>-119316.91</v>
      </c>
      <c r="F122" s="99">
        <f>F115-F121</f>
        <v>-90246</v>
      </c>
    </row>
    <row r="123" spans="1:6">
      <c r="A123" s="15"/>
      <c r="B123" s="15"/>
      <c r="C123" s="65"/>
      <c r="D123" s="66"/>
      <c r="E123" s="66"/>
      <c r="F123" s="66"/>
    </row>
    <row r="124" spans="1:6">
      <c r="A124" s="15"/>
      <c r="B124" s="15"/>
      <c r="C124" s="212" t="s">
        <v>191</v>
      </c>
      <c r="E124" s="25">
        <f>E119+E106+E94+E80+E63+E48+E29+E14</f>
        <v>3286174.75</v>
      </c>
      <c r="F124" s="25">
        <f>F119+F106+F94+F80+F63+F48+F29+F14</f>
        <v>3255000</v>
      </c>
    </row>
    <row r="125" spans="1:6">
      <c r="C125" s="212" t="s">
        <v>192</v>
      </c>
      <c r="E125" s="25">
        <f>E120+E107+E95+E81+E64+E49+E30+E15</f>
        <v>859716.61999999988</v>
      </c>
      <c r="F125" s="25">
        <f>F120+F107+F95+F81+F64+F49+F30+F15</f>
        <v>969000</v>
      </c>
    </row>
    <row r="126" spans="1:6">
      <c r="C126" s="212"/>
    </row>
    <row r="136" spans="7:8" ht="15">
      <c r="G136" s="2"/>
    </row>
    <row r="138" spans="7:8">
      <c r="H138" s="15"/>
    </row>
    <row r="141" spans="7:8">
      <c r="H141" s="15"/>
    </row>
    <row r="142" spans="7:8">
      <c r="H142" s="15"/>
    </row>
    <row r="143" spans="7:8">
      <c r="H143" s="15"/>
    </row>
  </sheetData>
  <sheetProtection algorithmName="SHA-512" hashValue="ed0dJxDTklgwBgjJvOkghXG3M0iRA/00R5G4LpuHFdkphFyUNSrPKPd764JjCnaARa84p23BxVkevP0ltzfA1A==" saltValue="RnbofkLQEpgOLnMphtwFRQ==" spinCount="100000" sheet="1" formatCells="0" formatColumns="0" formatRows="0" insertColumns="0" insertRows="0" insertHyperlinks="0" deleteColumns="0" deleteRows="0" sort="0" autoFilter="0" pivotTables="0"/>
  <phoneticPr fontId="7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0626-E160-47A4-AF70-BB76AF64B942}">
  <sheetPr codeName="Ark4">
    <tabColor theme="5" tint="0.59999389629810485"/>
  </sheetPr>
  <dimension ref="A1:J52"/>
  <sheetViews>
    <sheetView showGridLines="0" zoomScaleNormal="100" workbookViewId="0">
      <selection activeCell="E26" sqref="E26"/>
    </sheetView>
  </sheetViews>
  <sheetFormatPr baseColWidth="10" defaultColWidth="11.42578125" defaultRowHeight="15"/>
  <cols>
    <col min="1" max="1" width="11.7109375" style="2" customWidth="1"/>
    <col min="2" max="2" width="5.28515625" style="2" customWidth="1"/>
    <col min="3" max="3" width="65.85546875" style="2" bestFit="1" customWidth="1"/>
    <col min="4" max="6" width="25.28515625" style="2" customWidth="1"/>
    <col min="7" max="8" width="11.42578125" style="2"/>
    <col min="9" max="9" width="14.28515625" style="2" bestFit="1" customWidth="1"/>
    <col min="10" max="16384" width="11.42578125" style="2"/>
  </cols>
  <sheetData>
    <row r="1" spans="1:9" ht="21">
      <c r="A1" s="89" t="s">
        <v>43</v>
      </c>
      <c r="B1" s="89"/>
      <c r="C1" s="15"/>
      <c r="D1" s="15"/>
      <c r="E1" s="15"/>
      <c r="F1" s="15"/>
      <c r="G1" s="15"/>
      <c r="H1" s="15"/>
    </row>
    <row r="2" spans="1:9" ht="17.25">
      <c r="A2" s="15"/>
      <c r="B2" s="15"/>
      <c r="C2" s="15"/>
      <c r="D2" s="15"/>
      <c r="E2" s="15"/>
      <c r="F2" s="15"/>
      <c r="G2" s="15"/>
      <c r="H2" s="15"/>
    </row>
    <row r="3" spans="1:9" ht="17.25">
      <c r="A3" s="70" t="s">
        <v>92</v>
      </c>
      <c r="B3" s="70"/>
      <c r="C3" s="15"/>
      <c r="D3" s="15"/>
      <c r="E3" s="15"/>
      <c r="F3" s="15"/>
      <c r="G3" s="15"/>
      <c r="H3" s="15"/>
    </row>
    <row r="4" spans="1:9" ht="17.25">
      <c r="A4" s="385"/>
      <c r="B4" s="385"/>
      <c r="C4" s="386" t="s">
        <v>193</v>
      </c>
      <c r="D4" s="325" t="str">
        <f>regnskap</f>
        <v>Rekneskap 2024</v>
      </c>
      <c r="E4" s="325" t="str">
        <f>'Budsjett 2025'!E$8</f>
        <v>Regnskap 2025</v>
      </c>
      <c r="F4" s="325" t="str">
        <f>'Budsjett 2025'!F$8</f>
        <v>Budsjett 2025 rev. 2</v>
      </c>
      <c r="G4" s="15"/>
      <c r="H4" s="15"/>
    </row>
    <row r="5" spans="1:9" ht="17.25">
      <c r="A5" s="15"/>
      <c r="B5" s="15"/>
      <c r="C5" s="65" t="s">
        <v>151</v>
      </c>
      <c r="D5" s="22"/>
      <c r="E5" s="22"/>
      <c r="F5" s="22"/>
      <c r="G5" s="15"/>
      <c r="H5" s="15"/>
    </row>
    <row r="6" spans="1:9" ht="17.25">
      <c r="A6" s="15">
        <v>41000</v>
      </c>
      <c r="B6" s="15"/>
      <c r="C6" s="5" t="s">
        <v>194</v>
      </c>
      <c r="D6" s="243">
        <v>48873.59</v>
      </c>
      <c r="E6" s="22">
        <v>45510.71</v>
      </c>
      <c r="F6" s="22">
        <v>60000</v>
      </c>
      <c r="G6" s="15"/>
      <c r="H6" s="15"/>
    </row>
    <row r="7" spans="1:9" ht="17.25">
      <c r="A7" s="15">
        <v>5003</v>
      </c>
      <c r="B7" s="15"/>
      <c r="C7" s="103" t="s">
        <v>155</v>
      </c>
      <c r="D7" s="262">
        <v>928281.69564361998</v>
      </c>
      <c r="E7" s="114">
        <v>1112944.45</v>
      </c>
      <c r="F7" s="114">
        <f>ROUND('Lønns- og personalkostnader'!F14*Årsverk_Interessepolitikk/Årsverk_POLITIKK,-3)</f>
        <v>902000</v>
      </c>
      <c r="G7" s="15"/>
      <c r="H7" s="15"/>
    </row>
    <row r="8" spans="1:9" ht="17.25">
      <c r="A8" s="15">
        <v>6990</v>
      </c>
      <c r="B8" s="15"/>
      <c r="C8" s="103" t="s">
        <v>156</v>
      </c>
      <c r="D8" s="262">
        <v>374588.82096683531</v>
      </c>
      <c r="E8" s="114">
        <v>239110.26</v>
      </c>
      <c r="F8" s="114">
        <f>ROUND('Fordelte felleskostnader'!F33*Årsverk_Interessepolitikk/Årsverk_TOTALT,-3)</f>
        <v>274000</v>
      </c>
      <c r="G8" s="15"/>
      <c r="H8" s="15"/>
    </row>
    <row r="9" spans="1:9" ht="17.25">
      <c r="A9" s="33"/>
      <c r="B9" s="33"/>
      <c r="C9" s="33"/>
      <c r="D9" s="249">
        <f>SUM(D6:D8)</f>
        <v>1351744.1066104553</v>
      </c>
      <c r="E9" s="66">
        <f>SUM(E6:E8)</f>
        <v>1397565.42</v>
      </c>
      <c r="F9" s="66">
        <f>SUM(F6:F8)</f>
        <v>1236000</v>
      </c>
      <c r="G9" s="15"/>
      <c r="H9" s="15"/>
    </row>
    <row r="10" spans="1:9" ht="18" thickBot="1">
      <c r="A10" s="33"/>
      <c r="B10" s="33"/>
      <c r="C10" s="98" t="s">
        <v>95</v>
      </c>
      <c r="D10" s="99">
        <f>-D9</f>
        <v>-1351744.1066104553</v>
      </c>
      <c r="E10" s="99">
        <f>-E9</f>
        <v>-1397565.42</v>
      </c>
      <c r="F10" s="99">
        <f>-F9</f>
        <v>-1236000</v>
      </c>
      <c r="G10" s="15"/>
      <c r="H10" s="22"/>
    </row>
    <row r="11" spans="1:9" ht="17.25">
      <c r="A11" s="33"/>
      <c r="B11" s="33"/>
      <c r="C11" s="33"/>
      <c r="D11" s="34"/>
      <c r="E11" s="34"/>
      <c r="F11" s="34"/>
      <c r="G11" s="15"/>
      <c r="H11" s="15"/>
    </row>
    <row r="12" spans="1:9" ht="17.25">
      <c r="A12" s="15"/>
      <c r="B12" s="15"/>
      <c r="C12" s="15"/>
      <c r="D12" s="15"/>
      <c r="E12" s="15"/>
      <c r="F12" s="15"/>
      <c r="G12" s="22"/>
      <c r="H12" s="15"/>
      <c r="I12" s="25"/>
    </row>
    <row r="13" spans="1:9" ht="17.25">
      <c r="A13" s="386"/>
      <c r="B13" s="387"/>
      <c r="C13" s="386" t="s">
        <v>195</v>
      </c>
      <c r="D13" s="325" t="str">
        <f>regnskap</f>
        <v>Rekneskap 2024</v>
      </c>
      <c r="E13" s="325" t="str">
        <f>'Budsjett 2025'!E$8</f>
        <v>Regnskap 2025</v>
      </c>
      <c r="F13" s="325" t="str">
        <f>'Budsjett 2025'!F$8</f>
        <v>Budsjett 2025 rev. 2</v>
      </c>
      <c r="G13" s="15"/>
      <c r="H13" s="15"/>
    </row>
    <row r="14" spans="1:9" ht="17.25">
      <c r="C14" s="65" t="s">
        <v>144</v>
      </c>
      <c r="G14" s="15"/>
      <c r="H14" s="15"/>
    </row>
    <row r="15" spans="1:9" ht="17.25">
      <c r="A15" s="69" t="s">
        <v>196</v>
      </c>
      <c r="B15" s="15"/>
      <c r="C15" s="17" t="s">
        <v>197</v>
      </c>
      <c r="D15" s="251">
        <v>53307</v>
      </c>
      <c r="E15" s="23">
        <v>0</v>
      </c>
      <c r="F15" s="36">
        <v>100000</v>
      </c>
      <c r="G15" s="15"/>
      <c r="H15" s="15"/>
    </row>
    <row r="16" spans="1:9" ht="17.25">
      <c r="A16" s="69" t="s">
        <v>196</v>
      </c>
      <c r="B16" s="17"/>
      <c r="C16" s="17" t="s">
        <v>198</v>
      </c>
      <c r="D16" s="251">
        <v>70000</v>
      </c>
      <c r="E16" s="23">
        <v>0</v>
      </c>
      <c r="F16" s="36">
        <v>35000</v>
      </c>
      <c r="G16" s="15"/>
      <c r="H16" s="15"/>
    </row>
    <row r="17" spans="1:10" ht="17.25">
      <c r="A17" s="69" t="s">
        <v>196</v>
      </c>
      <c r="B17" s="17"/>
      <c r="C17" s="15" t="s">
        <v>199</v>
      </c>
      <c r="D17" s="251">
        <v>33642</v>
      </c>
      <c r="E17" s="23">
        <v>0</v>
      </c>
      <c r="F17" s="36">
        <v>30000</v>
      </c>
      <c r="G17" s="15"/>
      <c r="H17" s="15"/>
    </row>
    <row r="18" spans="1:10" ht="17.25">
      <c r="A18" s="69" t="s">
        <v>196</v>
      </c>
      <c r="B18" s="17"/>
      <c r="C18" s="17" t="s">
        <v>200</v>
      </c>
      <c r="D18" s="251">
        <f>71429+48571</f>
        <v>120000</v>
      </c>
      <c r="E18" s="23">
        <v>71202.87</v>
      </c>
      <c r="F18" s="36">
        <v>120000</v>
      </c>
      <c r="G18" s="15"/>
      <c r="H18" s="15"/>
    </row>
    <row r="19" spans="1:10" ht="17.25">
      <c r="A19" s="69" t="s">
        <v>196</v>
      </c>
      <c r="B19" s="17"/>
      <c r="C19" s="17" t="s">
        <v>201</v>
      </c>
      <c r="D19" s="251">
        <v>45000</v>
      </c>
      <c r="E19" s="23">
        <v>0</v>
      </c>
      <c r="F19" s="36">
        <v>0</v>
      </c>
      <c r="G19" s="15"/>
      <c r="H19" s="15"/>
    </row>
    <row r="20" spans="1:10" ht="17.25">
      <c r="A20" s="69" t="s">
        <v>196</v>
      </c>
      <c r="B20" s="17"/>
      <c r="C20" s="17" t="s">
        <v>202</v>
      </c>
      <c r="D20" s="251">
        <v>0</v>
      </c>
      <c r="E20" s="23">
        <v>11483.9</v>
      </c>
      <c r="F20" s="36">
        <v>0</v>
      </c>
      <c r="G20" s="15"/>
      <c r="H20" s="15"/>
    </row>
    <row r="21" spans="1:10" ht="17.25">
      <c r="A21" s="69" t="s">
        <v>196</v>
      </c>
      <c r="B21" s="17"/>
      <c r="C21" s="17" t="s">
        <v>203</v>
      </c>
      <c r="D21" s="251">
        <v>40000</v>
      </c>
      <c r="E21" s="23">
        <v>0</v>
      </c>
      <c r="F21" s="36">
        <v>50000</v>
      </c>
      <c r="G21" s="15"/>
      <c r="H21" s="15"/>
    </row>
    <row r="22" spans="1:10" ht="17.25">
      <c r="A22" s="69" t="s">
        <v>204</v>
      </c>
      <c r="B22" s="17"/>
      <c r="C22" s="17" t="s">
        <v>205</v>
      </c>
      <c r="D22" s="251">
        <v>0</v>
      </c>
      <c r="E22" s="23">
        <f>113784.32-5.31</f>
        <v>113779.01000000001</v>
      </c>
      <c r="F22" s="36">
        <v>290186</v>
      </c>
      <c r="G22" s="15"/>
      <c r="H22" s="15"/>
    </row>
    <row r="23" spans="1:10" ht="17.25">
      <c r="D23" s="246">
        <f>SUM(D15:D22)</f>
        <v>361949</v>
      </c>
      <c r="E23" s="68">
        <f>SUM(E15:E22)</f>
        <v>196465.78</v>
      </c>
      <c r="F23" s="68">
        <f>SUM(F15:F22)</f>
        <v>625186</v>
      </c>
      <c r="G23" s="15"/>
      <c r="H23" s="15"/>
    </row>
    <row r="24" spans="1:10" ht="17.25">
      <c r="A24" s="15"/>
      <c r="B24" s="15"/>
      <c r="C24" s="65" t="s">
        <v>151</v>
      </c>
      <c r="D24" s="243"/>
      <c r="E24" s="22"/>
      <c r="F24" s="22"/>
      <c r="G24" s="15"/>
      <c r="H24" s="15"/>
      <c r="I24" s="26"/>
      <c r="J24" s="27"/>
    </row>
    <row r="25" spans="1:10" ht="17.25">
      <c r="A25" s="15">
        <v>46000</v>
      </c>
      <c r="B25" s="15"/>
      <c r="C25" s="15" t="s">
        <v>206</v>
      </c>
      <c r="D25" s="243">
        <v>20627.919999999998</v>
      </c>
      <c r="E25" s="282">
        <v>101167.98</v>
      </c>
      <c r="F25" s="22">
        <v>50000</v>
      </c>
      <c r="G25" s="292"/>
      <c r="H25" s="15"/>
      <c r="I25" s="26"/>
      <c r="J25" s="26"/>
    </row>
    <row r="26" spans="1:10" ht="17.25">
      <c r="A26" s="15">
        <v>48000</v>
      </c>
      <c r="B26" s="21"/>
      <c r="C26" s="15" t="s">
        <v>207</v>
      </c>
      <c r="D26" s="243">
        <f>522168.97-1080-350-750</f>
        <v>519988.97</v>
      </c>
      <c r="E26" s="22">
        <v>370441.16</v>
      </c>
      <c r="F26" s="22">
        <v>435000</v>
      </c>
      <c r="G26" s="15"/>
      <c r="H26" s="22"/>
      <c r="I26" s="26"/>
      <c r="J26" s="27"/>
    </row>
    <row r="27" spans="1:10" ht="17.25">
      <c r="A27" s="15">
        <v>47000</v>
      </c>
      <c r="B27" s="21"/>
      <c r="C27" s="17" t="s">
        <v>205</v>
      </c>
      <c r="D27" s="285">
        <v>0</v>
      </c>
      <c r="E27" s="282">
        <f>113779.01</f>
        <v>113779.01</v>
      </c>
      <c r="F27" s="282">
        <f>342200-54000-6000-24000</f>
        <v>258200</v>
      </c>
      <c r="G27" s="17"/>
      <c r="H27" s="15"/>
      <c r="I27" s="26"/>
      <c r="J27" s="27"/>
    </row>
    <row r="28" spans="1:10" ht="17.25">
      <c r="A28" s="15">
        <v>5003</v>
      </c>
      <c r="B28" s="15"/>
      <c r="C28" s="103" t="s">
        <v>155</v>
      </c>
      <c r="D28" s="262">
        <v>617862.85564362002</v>
      </c>
      <c r="E28" s="295">
        <v>1005403.82</v>
      </c>
      <c r="F28" s="114">
        <f>ROUND('Lønns- og personalkostnader'!F14*Årsverk_FN_Europa_Norden/Årsverk_POLITIKK,-3)</f>
        <v>833000</v>
      </c>
      <c r="G28" s="22"/>
      <c r="H28" s="15"/>
    </row>
    <row r="29" spans="1:10" ht="17.25">
      <c r="A29" s="15">
        <v>6990</v>
      </c>
      <c r="B29" s="15"/>
      <c r="C29" s="103" t="s">
        <v>156</v>
      </c>
      <c r="D29" s="262">
        <v>228836.42096683529</v>
      </c>
      <c r="E29" s="114">
        <f>220717.16-3537.55-6580.76+3466.41</f>
        <v>214065.26</v>
      </c>
      <c r="F29" s="114">
        <f>ROUND('Fordelte felleskostnader'!F33*Årsverk_FN_Europa_Norden/Årsverk_TOTALT,-3)</f>
        <v>253000</v>
      </c>
      <c r="G29" s="22"/>
      <c r="H29" s="15"/>
    </row>
    <row r="30" spans="1:10" ht="17.25">
      <c r="A30" s="15"/>
      <c r="B30" s="15"/>
      <c r="C30" s="65"/>
      <c r="D30" s="246">
        <f>SUM(D25:D29)</f>
        <v>1387316.1666104551</v>
      </c>
      <c r="E30" s="68">
        <f>SUM(E25:E29)</f>
        <v>1804857.2299999997</v>
      </c>
      <c r="F30" s="68">
        <f>SUM(F25:F29)</f>
        <v>1829200</v>
      </c>
      <c r="G30" s="22"/>
      <c r="H30" s="22"/>
      <c r="I30" s="28"/>
      <c r="J30" s="28"/>
    </row>
    <row r="31" spans="1:10" ht="18" thickBot="1">
      <c r="A31" s="15"/>
      <c r="B31" s="15"/>
      <c r="C31" s="98" t="s">
        <v>95</v>
      </c>
      <c r="D31" s="99">
        <f>D23-D30</f>
        <v>-1025367.1666104551</v>
      </c>
      <c r="E31" s="99">
        <f>E23-E30</f>
        <v>-1608391.4499999997</v>
      </c>
      <c r="F31" s="99">
        <f>F23-F30</f>
        <v>-1204014</v>
      </c>
      <c r="G31" s="15"/>
      <c r="H31" s="22"/>
      <c r="I31" s="28"/>
    </row>
    <row r="32" spans="1:10" ht="17.25">
      <c r="A32" s="15"/>
      <c r="B32" s="15"/>
      <c r="C32" s="65"/>
      <c r="D32" s="66"/>
      <c r="E32" s="66"/>
      <c r="F32" s="15"/>
      <c r="G32" s="15"/>
      <c r="H32" s="15"/>
      <c r="I32" s="28"/>
    </row>
    <row r="33" spans="1:10" ht="17.25">
      <c r="A33" s="15"/>
      <c r="B33" s="15"/>
      <c r="C33" s="65"/>
      <c r="D33" s="15"/>
      <c r="E33" s="15"/>
      <c r="F33" s="15"/>
      <c r="G33" s="17"/>
      <c r="H33" s="15"/>
      <c r="I33" s="28"/>
    </row>
    <row r="34" spans="1:10" ht="17.25">
      <c r="A34" s="386">
        <v>49000</v>
      </c>
      <c r="B34" s="387"/>
      <c r="C34" s="386" t="s">
        <v>208</v>
      </c>
      <c r="D34" s="325" t="str">
        <f>regnskap</f>
        <v>Rekneskap 2024</v>
      </c>
      <c r="E34" s="325" t="str">
        <f>'Budsjett 2025'!E$8</f>
        <v>Regnskap 2025</v>
      </c>
      <c r="F34" s="325" t="str">
        <f>'Budsjett 2025'!F$8</f>
        <v>Budsjett 2025 rev. 2</v>
      </c>
      <c r="G34" s="17"/>
      <c r="H34" s="15"/>
    </row>
    <row r="35" spans="1:10" ht="17.25">
      <c r="A35" s="31"/>
      <c r="B35" s="15"/>
      <c r="C35" s="65" t="s">
        <v>144</v>
      </c>
      <c r="D35" s="66"/>
      <c r="E35" s="66"/>
      <c r="F35" s="66"/>
      <c r="G35" s="283"/>
    </row>
    <row r="36" spans="1:10" ht="17.25">
      <c r="A36" s="31">
        <v>3400</v>
      </c>
      <c r="B36" s="15"/>
      <c r="C36" s="15" t="s">
        <v>209</v>
      </c>
      <c r="D36" s="23">
        <f>364329+423946.5</f>
        <v>788275.5</v>
      </c>
      <c r="E36" s="23"/>
      <c r="F36" s="22">
        <v>0</v>
      </c>
      <c r="G36" s="283"/>
      <c r="J36" s="25"/>
    </row>
    <row r="37" spans="1:10" ht="17.25">
      <c r="A37" s="31">
        <v>3700</v>
      </c>
      <c r="B37" s="15"/>
      <c r="C37" s="15" t="s">
        <v>210</v>
      </c>
      <c r="D37" s="23">
        <v>163811.84</v>
      </c>
      <c r="E37" s="22"/>
      <c r="F37" s="22">
        <v>0</v>
      </c>
      <c r="G37" s="283"/>
    </row>
    <row r="38" spans="1:10" ht="17.25">
      <c r="A38" s="222">
        <v>3401</v>
      </c>
      <c r="B38" s="69"/>
      <c r="C38" s="15" t="s">
        <v>211</v>
      </c>
      <c r="D38" s="218">
        <v>-498724</v>
      </c>
      <c r="E38" s="23"/>
      <c r="F38" s="22">
        <v>0</v>
      </c>
      <c r="G38" s="283"/>
    </row>
    <row r="39" spans="1:10" ht="17.25">
      <c r="A39" s="31"/>
      <c r="B39" s="15"/>
      <c r="C39" s="65"/>
      <c r="D39" s="66">
        <f>SUM(D36:D38)</f>
        <v>453363.33999999997</v>
      </c>
      <c r="E39" s="66">
        <f>SUM(E36:E38)</f>
        <v>0</v>
      </c>
      <c r="F39" s="66">
        <f>SUM(F36:F38)</f>
        <v>0</v>
      </c>
      <c r="G39" s="283"/>
    </row>
    <row r="40" spans="1:10" ht="17.25">
      <c r="A40" s="31"/>
      <c r="B40" s="15"/>
      <c r="C40" s="65" t="s">
        <v>151</v>
      </c>
      <c r="D40" s="249"/>
      <c r="E40" s="66"/>
      <c r="F40" s="66"/>
      <c r="G40" s="283"/>
    </row>
    <row r="41" spans="1:10" ht="17.25">
      <c r="A41" s="31">
        <v>26900</v>
      </c>
      <c r="B41" s="15"/>
      <c r="C41" s="5" t="s">
        <v>162</v>
      </c>
      <c r="D41" s="243">
        <v>216458.92</v>
      </c>
      <c r="E41" s="22">
        <v>47271.83</v>
      </c>
      <c r="F41" s="22">
        <v>0</v>
      </c>
      <c r="G41" s="283" t="s">
        <v>212</v>
      </c>
    </row>
    <row r="42" spans="1:10" ht="17.25">
      <c r="A42" s="15">
        <v>5003</v>
      </c>
      <c r="B42" s="15"/>
      <c r="C42" s="103" t="s">
        <v>155</v>
      </c>
      <c r="D42" s="262">
        <v>161210.48000000001</v>
      </c>
      <c r="E42" s="114">
        <v>0</v>
      </c>
      <c r="F42" s="114">
        <f>ROUND('Lønns- og personalkostnader'!G14*Årsverk_NMR/Årsverk_POLITIKK,-3)</f>
        <v>0</v>
      </c>
      <c r="G42" s="282"/>
      <c r="H42" s="15"/>
    </row>
    <row r="43" spans="1:10" ht="17.25">
      <c r="A43" s="15">
        <v>6990</v>
      </c>
      <c r="B43" s="15"/>
      <c r="C43" s="103" t="s">
        <v>156</v>
      </c>
      <c r="D43" s="262">
        <v>75693.899999999994</v>
      </c>
      <c r="E43" s="114">
        <f>('Fordelte felleskostnader'!E33*Årsverk_NMR/Årsverk_TOTALT)</f>
        <v>0</v>
      </c>
      <c r="F43" s="114">
        <f>ROUND('Fordelte felleskostnader'!G33*Årsverk_NMR/Årsverk_TOTALT,-3)</f>
        <v>0</v>
      </c>
      <c r="G43" s="282"/>
      <c r="H43" s="15"/>
    </row>
    <row r="44" spans="1:10" ht="17.25">
      <c r="D44" s="249">
        <f>SUM(D41:D43)</f>
        <v>453363.30000000005</v>
      </c>
      <c r="E44" s="66">
        <f>SUM(E41:E43)</f>
        <v>47271.83</v>
      </c>
      <c r="F44" s="66">
        <f>SUM(F41:F43)</f>
        <v>0</v>
      </c>
      <c r="G44" s="283"/>
    </row>
    <row r="45" spans="1:10" ht="18" thickBot="1">
      <c r="A45" s="15"/>
      <c r="B45" s="15"/>
      <c r="C45" s="98" t="s">
        <v>95</v>
      </c>
      <c r="D45" s="248">
        <f>D39-D44</f>
        <v>3.9999999920837581E-2</v>
      </c>
      <c r="E45" s="99">
        <f>E39-E44</f>
        <v>-47271.83</v>
      </c>
      <c r="F45" s="99">
        <f>F39-F44</f>
        <v>0</v>
      </c>
      <c r="G45" s="283"/>
    </row>
    <row r="46" spans="1:10" ht="17.25">
      <c r="A46" s="15"/>
      <c r="B46" s="15"/>
      <c r="C46" s="212" t="s">
        <v>213</v>
      </c>
      <c r="D46" s="25"/>
      <c r="E46" s="25">
        <f>'Lønns- og personalkostnader'!E14-Politikk!E7-Politikk!E28-Politikk!E42</f>
        <v>21929.520000000135</v>
      </c>
      <c r="F46" s="25">
        <f>'Lønns- og personalkostnader'!G14-Politikk!F7-Politikk!F28-Politikk!F42</f>
        <v>-1735000</v>
      </c>
      <c r="G46" s="17"/>
      <c r="H46" s="15"/>
      <c r="I46" s="28"/>
    </row>
    <row r="47" spans="1:10" ht="17.25">
      <c r="A47" s="15"/>
      <c r="B47" s="15"/>
      <c r="C47" s="212"/>
      <c r="D47" s="25"/>
      <c r="E47" s="25"/>
      <c r="F47" s="25"/>
      <c r="G47" s="17"/>
      <c r="H47" s="15"/>
      <c r="I47" s="28"/>
    </row>
    <row r="48" spans="1:10">
      <c r="C48" s="212" t="s">
        <v>191</v>
      </c>
      <c r="E48" s="25">
        <f>E42+E28+E7+11662.35</f>
        <v>2130010.62</v>
      </c>
      <c r="F48" s="25">
        <f>F42+F28+F7</f>
        <v>1735000</v>
      </c>
      <c r="G48" s="284"/>
      <c r="H48" s="20"/>
      <c r="I48" s="30"/>
    </row>
    <row r="49" spans="3:7">
      <c r="C49" s="212" t="s">
        <v>192</v>
      </c>
      <c r="E49" s="25">
        <f>E43+E29+E8</f>
        <v>453175.52</v>
      </c>
      <c r="F49" s="25">
        <f>F43+F29+F8</f>
        <v>527000</v>
      </c>
      <c r="G49" s="283"/>
    </row>
    <row r="52" spans="3:7">
      <c r="E52" s="25"/>
    </row>
  </sheetData>
  <sheetProtection algorithmName="SHA-512" hashValue="peswaLHDOR1jwkJNZETsIOXj6HT+Xi9jxS7Ov//YltullW6dx+tQw7YsCuNdl2XibLaJOzknmuGs4MUbLMYXNA==" saltValue="7nt/JbDXniLpnGOv8/BhLg==" spinCount="100000" sheet="1" formatCells="0" formatColumns="0" formatRows="0" insertColumns="0" insertRows="0" insertHyperlinks="0" deleteColumns="0" deleteRows="0" sort="0" autoFilter="0" pivotTables="0"/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8DB23-9CD2-41B0-8A8B-092571D081AE}">
  <sheetPr codeName="Ark5">
    <tabColor theme="4" tint="0.59999389629810485"/>
    <pageSetUpPr fitToPage="1"/>
  </sheetPr>
  <dimension ref="A1:H108"/>
  <sheetViews>
    <sheetView showGridLines="0" topLeftCell="C88" zoomScaleNormal="100" workbookViewId="0">
      <selection activeCell="G97" sqref="G97"/>
    </sheetView>
  </sheetViews>
  <sheetFormatPr baseColWidth="10" defaultColWidth="11.42578125" defaultRowHeight="17.25"/>
  <cols>
    <col min="1" max="1" width="11.7109375" style="2" customWidth="1"/>
    <col min="2" max="2" width="5.28515625" style="2" customWidth="1"/>
    <col min="3" max="3" width="65.85546875" style="2" bestFit="1" customWidth="1"/>
    <col min="4" max="6" width="25.28515625" style="2" customWidth="1"/>
    <col min="7" max="7" width="117" style="289" bestFit="1" customWidth="1"/>
    <col min="8" max="16384" width="11.42578125" style="2"/>
  </cols>
  <sheetData>
    <row r="1" spans="1:7" ht="21">
      <c r="A1" s="89" t="s">
        <v>50</v>
      </c>
      <c r="B1" s="89"/>
    </row>
    <row r="2" spans="1:7">
      <c r="D2" s="67"/>
      <c r="E2" s="67"/>
    </row>
    <row r="3" spans="1:7">
      <c r="A3" s="70" t="s">
        <v>92</v>
      </c>
      <c r="B3" s="92"/>
      <c r="C3" s="107"/>
      <c r="D3" s="106"/>
      <c r="E3" s="106"/>
    </row>
    <row r="4" spans="1:7">
      <c r="A4" s="388">
        <v>23000</v>
      </c>
      <c r="B4" s="388"/>
      <c r="C4" s="388" t="s">
        <v>214</v>
      </c>
      <c r="D4" s="321" t="str">
        <f>regnskap</f>
        <v>Rekneskap 2024</v>
      </c>
      <c r="E4" s="321" t="str">
        <f>'Budsjett 2025'!E$8</f>
        <v>Regnskap 2025</v>
      </c>
      <c r="F4" s="321" t="str">
        <f>'Budsjett 2025'!F$8</f>
        <v>Budsjett 2025 rev. 2</v>
      </c>
    </row>
    <row r="5" spans="1:7">
      <c r="A5" s="65"/>
      <c r="B5" s="65"/>
      <c r="C5" s="65" t="s">
        <v>144</v>
      </c>
      <c r="D5" s="66"/>
      <c r="E5" s="66"/>
      <c r="F5" s="66"/>
    </row>
    <row r="6" spans="1:7">
      <c r="A6" s="15">
        <v>3410</v>
      </c>
      <c r="B6" s="15"/>
      <c r="C6" s="15" t="s">
        <v>215</v>
      </c>
      <c r="D6" s="251">
        <v>5000000</v>
      </c>
      <c r="E6" s="23">
        <v>5294000</v>
      </c>
      <c r="F6" s="23">
        <v>5295000</v>
      </c>
    </row>
    <row r="7" spans="1:7">
      <c r="A7" s="15">
        <v>3401</v>
      </c>
      <c r="B7" s="15"/>
      <c r="C7" s="15" t="s">
        <v>159</v>
      </c>
      <c r="D7" s="251">
        <v>0</v>
      </c>
      <c r="E7" s="23">
        <v>0</v>
      </c>
      <c r="F7" s="23">
        <v>0</v>
      </c>
    </row>
    <row r="8" spans="1:7">
      <c r="A8" s="69">
        <v>3700</v>
      </c>
      <c r="B8" s="69"/>
      <c r="C8" s="15" t="s">
        <v>160</v>
      </c>
      <c r="D8" s="251">
        <v>0</v>
      </c>
      <c r="E8" s="23">
        <v>0</v>
      </c>
      <c r="F8" s="23">
        <v>0</v>
      </c>
    </row>
    <row r="9" spans="1:7">
      <c r="A9" s="69"/>
      <c r="B9" s="69"/>
      <c r="C9" s="15" t="s">
        <v>216</v>
      </c>
      <c r="D9" s="251">
        <v>0</v>
      </c>
      <c r="E9" s="23">
        <v>0</v>
      </c>
      <c r="F9" s="23">
        <v>0</v>
      </c>
    </row>
    <row r="10" spans="1:7">
      <c r="A10" s="65"/>
      <c r="B10" s="65"/>
      <c r="C10" s="65"/>
      <c r="D10" s="249">
        <f>SUM(D6:D9)</f>
        <v>5000000</v>
      </c>
      <c r="E10" s="66">
        <f>SUM(E6:E9)</f>
        <v>5294000</v>
      </c>
      <c r="F10" s="66">
        <f>SUM(F6:F9)</f>
        <v>5295000</v>
      </c>
    </row>
    <row r="11" spans="1:7">
      <c r="A11" s="65"/>
      <c r="B11" s="65"/>
      <c r="C11" s="65" t="s">
        <v>151</v>
      </c>
      <c r="D11" s="249"/>
      <c r="E11" s="66"/>
      <c r="F11" s="66"/>
    </row>
    <row r="12" spans="1:7">
      <c r="A12" s="15"/>
      <c r="B12" s="15"/>
      <c r="C12" s="15" t="s">
        <v>217</v>
      </c>
      <c r="D12" s="243">
        <v>187279.15</v>
      </c>
      <c r="E12" s="22">
        <f>519709.49-378959.2</f>
        <v>140750.28999999998</v>
      </c>
      <c r="F12" s="22">
        <f>150000</f>
        <v>150000</v>
      </c>
      <c r="G12" s="290"/>
    </row>
    <row r="13" spans="1:7">
      <c r="A13" s="15">
        <v>6553</v>
      </c>
      <c r="B13" s="15"/>
      <c r="C13" s="115" t="s">
        <v>218</v>
      </c>
      <c r="D13" s="263">
        <v>292802.82</v>
      </c>
      <c r="E13" s="116">
        <v>378959.2</v>
      </c>
      <c r="F13" s="116">
        <f>ROUND(F$103/(Årsverk_FORVALTNING-årsverk_frifond255)*Årsverk_Frifond,-3)</f>
        <v>375000</v>
      </c>
      <c r="G13" s="291"/>
    </row>
    <row r="14" spans="1:7">
      <c r="A14" s="15">
        <v>5003</v>
      </c>
      <c r="B14" s="15"/>
      <c r="C14" s="115" t="s">
        <v>155</v>
      </c>
      <c r="D14" s="263">
        <v>3519172.99</v>
      </c>
      <c r="E14" s="116">
        <v>3882417.24</v>
      </c>
      <c r="F14" s="116">
        <f>ROUND('Lønns- og personalkostnader'!F22*Årsverk_Frifond/Årsverk_FORVALTNING,-3)</f>
        <v>3749000</v>
      </c>
      <c r="G14" s="48"/>
    </row>
    <row r="15" spans="1:7">
      <c r="A15" s="15">
        <v>6990</v>
      </c>
      <c r="B15" s="15"/>
      <c r="C15" s="115" t="s">
        <v>156</v>
      </c>
      <c r="D15" s="263">
        <v>1420882.8</v>
      </c>
      <c r="E15" s="116">
        <v>1009576.65</v>
      </c>
      <c r="F15" s="116">
        <f>ROUND('Fordelte felleskostnader'!F33*Årsverk_Frifond/Årsverk_TOTALT,-3)</f>
        <v>1152000</v>
      </c>
    </row>
    <row r="16" spans="1:7">
      <c r="A16" s="33"/>
      <c r="B16" s="33"/>
      <c r="C16" s="33"/>
      <c r="D16" s="249">
        <f>SUM(D12:D15)</f>
        <v>5420137.7599999998</v>
      </c>
      <c r="E16" s="66">
        <f>SUM(E12:E15)</f>
        <v>5411703.3800000008</v>
      </c>
      <c r="F16" s="66">
        <f>SUM(F12:F15)</f>
        <v>5426000</v>
      </c>
      <c r="G16" s="291"/>
    </row>
    <row r="17" spans="1:7" ht="18" thickBot="1">
      <c r="A17" s="15"/>
      <c r="B17" s="15"/>
      <c r="C17" s="98" t="s">
        <v>95</v>
      </c>
      <c r="D17" s="256">
        <f>D10-D16</f>
        <v>-420137.75999999978</v>
      </c>
      <c r="E17" s="99">
        <f>E10-E16</f>
        <v>-117703.38000000082</v>
      </c>
      <c r="F17" s="99">
        <f>F10-F16</f>
        <v>-131000</v>
      </c>
    </row>
    <row r="18" spans="1:7">
      <c r="A18" s="33"/>
      <c r="B18" s="33"/>
      <c r="C18" s="33"/>
      <c r="D18" s="66"/>
      <c r="E18" s="66"/>
      <c r="F18" s="66"/>
    </row>
    <row r="19" spans="1:7">
      <c r="A19" s="15"/>
      <c r="B19" s="15"/>
      <c r="C19" s="15"/>
      <c r="D19" s="23"/>
      <c r="E19" s="23"/>
    </row>
    <row r="20" spans="1:7">
      <c r="A20" s="388">
        <v>30400</v>
      </c>
      <c r="B20" s="388"/>
      <c r="C20" s="388" t="s">
        <v>219</v>
      </c>
      <c r="D20" s="321" t="str">
        <f>regnskap</f>
        <v>Rekneskap 2024</v>
      </c>
      <c r="E20" s="321" t="str">
        <f>'Budsjett 2025'!E$8</f>
        <v>Regnskap 2025</v>
      </c>
      <c r="F20" s="321" t="str">
        <f>'Budsjett 2025'!F$8</f>
        <v>Budsjett 2025 rev. 2</v>
      </c>
    </row>
    <row r="21" spans="1:7">
      <c r="C21" s="65" t="s">
        <v>144</v>
      </c>
      <c r="D21" s="32"/>
      <c r="E21" s="32"/>
      <c r="F21" s="23"/>
    </row>
    <row r="22" spans="1:7">
      <c r="A22" s="15">
        <v>3410</v>
      </c>
      <c r="B22" s="15"/>
      <c r="C22" s="15" t="s">
        <v>220</v>
      </c>
      <c r="D22" s="251">
        <v>650000</v>
      </c>
      <c r="E22" s="23">
        <v>700000</v>
      </c>
      <c r="F22" s="23">
        <v>700000</v>
      </c>
    </row>
    <row r="23" spans="1:7">
      <c r="A23" s="69">
        <v>3700</v>
      </c>
      <c r="B23" s="69"/>
      <c r="C23" s="15" t="s">
        <v>159</v>
      </c>
      <c r="D23" s="251">
        <v>14495.73</v>
      </c>
      <c r="E23" s="23"/>
      <c r="F23" s="23">
        <v>0</v>
      </c>
    </row>
    <row r="24" spans="1:7">
      <c r="A24" s="15">
        <v>3401</v>
      </c>
      <c r="B24" s="15"/>
      <c r="C24" s="15" t="s">
        <v>160</v>
      </c>
      <c r="D24" s="251">
        <v>0</v>
      </c>
      <c r="E24" s="23">
        <v>0</v>
      </c>
      <c r="F24" s="23">
        <v>0</v>
      </c>
    </row>
    <row r="25" spans="1:7">
      <c r="A25" s="15"/>
      <c r="B25" s="15"/>
      <c r="C25" s="15"/>
      <c r="D25" s="249">
        <f>SUM(D22:D24)</f>
        <v>664495.73</v>
      </c>
      <c r="E25" s="66">
        <f>SUM(E22:E24)</f>
        <v>700000</v>
      </c>
      <c r="F25" s="66">
        <f>SUM(F22:F24)</f>
        <v>700000</v>
      </c>
    </row>
    <row r="26" spans="1:7">
      <c r="C26" s="65" t="s">
        <v>151</v>
      </c>
      <c r="D26" s="243"/>
      <c r="E26" s="32"/>
      <c r="F26" s="23"/>
    </row>
    <row r="27" spans="1:7">
      <c r="C27" s="15" t="s">
        <v>217</v>
      </c>
      <c r="D27" s="251">
        <v>38120.699999999997</v>
      </c>
      <c r="E27" s="23">
        <v>32320</v>
      </c>
      <c r="F27" s="23">
        <v>25000</v>
      </c>
    </row>
    <row r="28" spans="1:7">
      <c r="A28" s="15">
        <v>6553</v>
      </c>
      <c r="B28" s="15"/>
      <c r="C28" s="115" t="s">
        <v>218</v>
      </c>
      <c r="D28" s="263">
        <v>31345.94</v>
      </c>
      <c r="E28" s="116">
        <v>43309.7</v>
      </c>
      <c r="F28" s="116">
        <f>ROUND(F$103/(Årsverk_FORVALTNING-årsverk_frifond255)*Årsverk_AKS,-3)</f>
        <v>53000</v>
      </c>
    </row>
    <row r="29" spans="1:7">
      <c r="A29" s="15">
        <v>5003</v>
      </c>
      <c r="B29" s="15"/>
      <c r="C29" s="115" t="s">
        <v>155</v>
      </c>
      <c r="D29" s="263">
        <v>475035.5</v>
      </c>
      <c r="E29" s="116">
        <v>502985.23</v>
      </c>
      <c r="F29" s="116">
        <f>ROUND('Lønns- og personalkostnader'!F22*Årsverk_AKS/Årsverk_FORVALTNING,-3)</f>
        <v>526000</v>
      </c>
    </row>
    <row r="30" spans="1:7">
      <c r="A30" s="15">
        <v>6990</v>
      </c>
      <c r="B30" s="15"/>
      <c r="C30" s="115" t="s">
        <v>156</v>
      </c>
      <c r="D30" s="263">
        <v>191789.48</v>
      </c>
      <c r="E30" s="116">
        <v>130795.36</v>
      </c>
      <c r="F30" s="116">
        <f>ROUND('Fordelte felleskostnader'!F33*Årsverk_AKS/Årsverk_TOTALT,-3)</f>
        <v>162000</v>
      </c>
    </row>
    <row r="31" spans="1:7">
      <c r="A31" s="15"/>
      <c r="B31" s="15"/>
      <c r="D31" s="249">
        <f>SUM(D27:D30)</f>
        <v>736291.62</v>
      </c>
      <c r="E31" s="66">
        <f>SUM(E27:E30)</f>
        <v>709410.28999999992</v>
      </c>
      <c r="F31" s="66">
        <f>SUM(F27:F30)</f>
        <v>766000</v>
      </c>
    </row>
    <row r="32" spans="1:7" ht="18" thickBot="1">
      <c r="A32" s="15"/>
      <c r="B32" s="15"/>
      <c r="C32" s="98" t="s">
        <v>95</v>
      </c>
      <c r="D32" s="256">
        <f>D25-D31</f>
        <v>-71795.890000000014</v>
      </c>
      <c r="E32" s="99">
        <f>E25-E31</f>
        <v>-9410.2899999999208</v>
      </c>
      <c r="F32" s="99">
        <f>F25-F31</f>
        <v>-66000</v>
      </c>
      <c r="G32" s="291"/>
    </row>
    <row r="33" spans="1:7">
      <c r="A33" s="15"/>
      <c r="B33" s="15"/>
      <c r="C33" s="65"/>
      <c r="D33" s="66"/>
      <c r="E33" s="66"/>
      <c r="F33" s="66"/>
    </row>
    <row r="34" spans="1:7">
      <c r="A34" s="15"/>
      <c r="B34" s="15"/>
    </row>
    <row r="35" spans="1:7">
      <c r="A35" s="388">
        <v>30300</v>
      </c>
      <c r="B35" s="388"/>
      <c r="C35" s="388" t="s">
        <v>221</v>
      </c>
      <c r="D35" s="321" t="str">
        <f>regnskap</f>
        <v>Rekneskap 2024</v>
      </c>
      <c r="E35" s="321" t="str">
        <f>'Budsjett 2025'!E$8</f>
        <v>Regnskap 2025</v>
      </c>
      <c r="F35" s="321" t="str">
        <f>'Budsjett 2025'!F$8</f>
        <v>Budsjett 2025 rev. 2</v>
      </c>
    </row>
    <row r="36" spans="1:7">
      <c r="C36" s="65" t="s">
        <v>144</v>
      </c>
    </row>
    <row r="37" spans="1:7">
      <c r="A37" s="69">
        <v>3410</v>
      </c>
      <c r="B37" s="69"/>
      <c r="C37" s="15" t="s">
        <v>222</v>
      </c>
      <c r="D37" s="245">
        <v>500000</v>
      </c>
      <c r="E37" s="37">
        <v>506000</v>
      </c>
      <c r="F37" s="23">
        <v>505000</v>
      </c>
      <c r="G37" s="291"/>
    </row>
    <row r="38" spans="1:7">
      <c r="A38" s="69">
        <v>3401</v>
      </c>
      <c r="B38" s="69"/>
      <c r="C38" s="15" t="s">
        <v>223</v>
      </c>
      <c r="D38" s="245">
        <v>0</v>
      </c>
      <c r="E38" s="37">
        <v>0</v>
      </c>
      <c r="F38" s="37">
        <v>0</v>
      </c>
    </row>
    <row r="39" spans="1:7">
      <c r="D39" s="249">
        <f>SUM(D37:D38)</f>
        <v>500000</v>
      </c>
      <c r="E39" s="66">
        <f>SUM(E37:E38)</f>
        <v>506000</v>
      </c>
      <c r="F39" s="66">
        <f>SUM(F37:F38)</f>
        <v>505000</v>
      </c>
    </row>
    <row r="40" spans="1:7">
      <c r="C40" s="65" t="s">
        <v>151</v>
      </c>
      <c r="D40" s="242"/>
    </row>
    <row r="41" spans="1:7">
      <c r="C41" s="15" t="s">
        <v>217</v>
      </c>
      <c r="D41" s="251">
        <v>42935.94</v>
      </c>
      <c r="E41" s="23">
        <v>20936.990000000002</v>
      </c>
      <c r="F41" s="23">
        <v>25000</v>
      </c>
    </row>
    <row r="42" spans="1:7">
      <c r="A42" s="15">
        <v>6553</v>
      </c>
      <c r="B42" s="15"/>
      <c r="C42" s="115" t="s">
        <v>218</v>
      </c>
      <c r="D42" s="263">
        <v>25120.880000000001</v>
      </c>
      <c r="E42" s="116">
        <v>32845.199999999997</v>
      </c>
      <c r="F42" s="116">
        <f>ROUND(F$103/(Årsverk_FORVALTNING-årsverk_frifond255)*Årsverk_Kultur,-3)</f>
        <v>35000</v>
      </c>
    </row>
    <row r="43" spans="1:7">
      <c r="A43" s="15">
        <v>5003</v>
      </c>
      <c r="B43" s="15"/>
      <c r="C43" s="115" t="s">
        <v>155</v>
      </c>
      <c r="D43" s="263">
        <v>371121.48</v>
      </c>
      <c r="E43" s="116">
        <v>424393.79</v>
      </c>
      <c r="F43" s="116">
        <f>ROUND('Lønns- og personalkostnader'!F22*Årsverk_Kultur/Årsverk_FORVALTNING,-3)</f>
        <v>350000</v>
      </c>
    </row>
    <row r="44" spans="1:7">
      <c r="A44" s="15">
        <v>6990</v>
      </c>
      <c r="B44" s="15"/>
      <c r="C44" s="115" t="s">
        <v>156</v>
      </c>
      <c r="D44" s="263">
        <v>149835.53</v>
      </c>
      <c r="E44" s="116">
        <v>110358.58</v>
      </c>
      <c r="F44" s="116">
        <f>ROUND('Fordelte felleskostnader'!F33*Årsverk_Kultur/Årsverk_TOTALT,-3)</f>
        <v>108000</v>
      </c>
    </row>
    <row r="45" spans="1:7">
      <c r="A45" s="15"/>
      <c r="B45" s="15"/>
      <c r="C45" s="15"/>
      <c r="D45" s="249">
        <f>SUM(D41:D44)</f>
        <v>589013.82999999996</v>
      </c>
      <c r="E45" s="66">
        <f>SUM(E41:E44)</f>
        <v>588534.55999999994</v>
      </c>
      <c r="F45" s="66">
        <f>SUM(F41:F44)</f>
        <v>518000</v>
      </c>
    </row>
    <row r="46" spans="1:7" ht="18" thickBot="1">
      <c r="A46" s="15"/>
      <c r="B46" s="15"/>
      <c r="C46" s="98" t="s">
        <v>95</v>
      </c>
      <c r="D46" s="256">
        <f>D39-D45</f>
        <v>-89013.829999999958</v>
      </c>
      <c r="E46" s="99">
        <f>E39-E45</f>
        <v>-82534.559999999939</v>
      </c>
      <c r="F46" s="99">
        <f>F39-F45</f>
        <v>-13000</v>
      </c>
    </row>
    <row r="47" spans="1:7">
      <c r="A47" s="15"/>
      <c r="B47" s="15"/>
      <c r="C47" s="15"/>
      <c r="D47" s="15"/>
      <c r="E47" s="15"/>
    </row>
    <row r="48" spans="1:7">
      <c r="A48" s="15"/>
      <c r="B48" s="15"/>
      <c r="C48" s="15"/>
      <c r="D48" s="15"/>
      <c r="E48" s="15"/>
    </row>
    <row r="49" spans="1:7">
      <c r="A49" s="388">
        <v>30200</v>
      </c>
      <c r="B49" s="388"/>
      <c r="C49" s="388" t="s">
        <v>224</v>
      </c>
      <c r="D49" s="321" t="str">
        <f>'Budsjett 2025'!D8</f>
        <v>Rekneskap 2024</v>
      </c>
      <c r="E49" s="321" t="str">
        <f>'Budsjett 2025'!E$8</f>
        <v>Regnskap 2025</v>
      </c>
      <c r="F49" s="321" t="str">
        <f>'Budsjett 2025'!F$8</f>
        <v>Budsjett 2025 rev. 2</v>
      </c>
    </row>
    <row r="50" spans="1:7">
      <c r="C50" s="65" t="s">
        <v>144</v>
      </c>
    </row>
    <row r="51" spans="1:7">
      <c r="A51" s="15">
        <v>3410</v>
      </c>
      <c r="B51" s="15"/>
      <c r="C51" s="15" t="s">
        <v>225</v>
      </c>
      <c r="D51" s="251">
        <v>600000</v>
      </c>
      <c r="E51" s="23">
        <v>635000</v>
      </c>
      <c r="F51" s="23">
        <v>635000</v>
      </c>
    </row>
    <row r="52" spans="1:7">
      <c r="A52" s="69">
        <v>3401</v>
      </c>
      <c r="B52" s="69"/>
      <c r="C52" s="15" t="s">
        <v>223</v>
      </c>
      <c r="D52" s="251">
        <v>0</v>
      </c>
      <c r="E52" s="23">
        <v>0</v>
      </c>
      <c r="F52" s="23">
        <v>0</v>
      </c>
    </row>
    <row r="53" spans="1:7">
      <c r="D53" s="249">
        <f>SUM(D51:D52)</f>
        <v>600000</v>
      </c>
      <c r="E53" s="66">
        <f>SUM(E51:E52)</f>
        <v>635000</v>
      </c>
      <c r="F53" s="66">
        <f>SUM(F51:F52)</f>
        <v>635000</v>
      </c>
    </row>
    <row r="54" spans="1:7">
      <c r="C54" s="65" t="s">
        <v>151</v>
      </c>
      <c r="D54" s="251"/>
      <c r="E54" s="23"/>
      <c r="F54" s="23"/>
    </row>
    <row r="55" spans="1:7">
      <c r="C55" s="15" t="s">
        <v>217</v>
      </c>
      <c r="D55" s="251">
        <v>45932.4</v>
      </c>
      <c r="E55" s="23">
        <v>41854.379999999997</v>
      </c>
      <c r="F55" s="23">
        <v>25000</v>
      </c>
      <c r="G55" s="291"/>
    </row>
    <row r="56" spans="1:7">
      <c r="A56" s="15">
        <v>6553</v>
      </c>
      <c r="B56" s="15"/>
      <c r="C56" s="115" t="s">
        <v>218</v>
      </c>
      <c r="D56" s="263">
        <v>46307.92</v>
      </c>
      <c r="E56" s="116">
        <v>47545.33</v>
      </c>
      <c r="F56" s="116">
        <f>ROUND(F$103/(Årsverk_FORVALTNING-årsverk_frifond255)*Årsverk_MI,-3)</f>
        <v>53000</v>
      </c>
    </row>
    <row r="57" spans="1:7">
      <c r="A57" s="15">
        <v>5003</v>
      </c>
      <c r="B57" s="15"/>
      <c r="C57" s="115" t="s">
        <v>155</v>
      </c>
      <c r="D57" s="263">
        <v>578949.51</v>
      </c>
      <c r="E57" s="116">
        <v>573717.53</v>
      </c>
      <c r="F57" s="116">
        <f>ROUND('Lønns- og personalkostnader'!F22*Årsverk_MI/Årsverk_FORVALTNING,-3)</f>
        <v>526000</v>
      </c>
    </row>
    <row r="58" spans="1:7">
      <c r="A58" s="15">
        <v>6990</v>
      </c>
      <c r="B58" s="15"/>
      <c r="C58" s="115" t="s">
        <v>156</v>
      </c>
      <c r="D58" s="263">
        <v>233743.42</v>
      </c>
      <c r="E58" s="116">
        <v>149188.45000000001</v>
      </c>
      <c r="F58" s="116">
        <f>ROUND('Fordelte felleskostnader'!F33*Årsverk_MI/Årsverk_TOTALT,-3)</f>
        <v>162000</v>
      </c>
    </row>
    <row r="59" spans="1:7">
      <c r="A59" s="15"/>
      <c r="B59" s="15"/>
      <c r="C59" s="15"/>
      <c r="D59" s="246">
        <f>SUM(D55:D58)</f>
        <v>904933.25000000012</v>
      </c>
      <c r="E59" s="68">
        <f>SUM(E55:E58)</f>
        <v>812305.69</v>
      </c>
      <c r="F59" s="68">
        <f>SUM(F55:F58)</f>
        <v>766000</v>
      </c>
    </row>
    <row r="60" spans="1:7" ht="18" thickBot="1">
      <c r="A60" s="15"/>
      <c r="B60" s="15"/>
      <c r="C60" s="98" t="s">
        <v>226</v>
      </c>
      <c r="D60" s="256">
        <f>D53-D59</f>
        <v>-304933.25000000012</v>
      </c>
      <c r="E60" s="99">
        <f>E53-E59</f>
        <v>-177305.68999999994</v>
      </c>
      <c r="F60" s="99">
        <f>F53-F59</f>
        <v>-131000</v>
      </c>
      <c r="G60" s="291"/>
    </row>
    <row r="61" spans="1:7">
      <c r="A61" s="15"/>
      <c r="B61" s="15"/>
      <c r="C61" s="15"/>
      <c r="D61" s="15"/>
      <c r="E61" s="15"/>
    </row>
    <row r="62" spans="1:7">
      <c r="A62" s="15"/>
      <c r="B62" s="15"/>
      <c r="C62" s="15"/>
      <c r="D62" s="15"/>
      <c r="E62" s="15"/>
    </row>
    <row r="63" spans="1:7">
      <c r="A63" s="388">
        <v>30500</v>
      </c>
      <c r="B63" s="388"/>
      <c r="C63" s="388" t="s">
        <v>227</v>
      </c>
      <c r="D63" s="321" t="str">
        <f>regnskap</f>
        <v>Rekneskap 2024</v>
      </c>
      <c r="E63" s="321" t="str">
        <f>'Budsjett 2025'!E$8</f>
        <v>Regnskap 2025</v>
      </c>
      <c r="F63" s="321" t="str">
        <f>'Budsjett 2025'!F$8</f>
        <v>Budsjett 2025 rev. 2</v>
      </c>
    </row>
    <row r="64" spans="1:7">
      <c r="C64" s="65" t="s">
        <v>144</v>
      </c>
    </row>
    <row r="65" spans="1:7">
      <c r="A65" s="15">
        <v>3410</v>
      </c>
      <c r="B65" s="15"/>
      <c r="C65" s="15" t="s">
        <v>228</v>
      </c>
      <c r="D65" s="251">
        <v>333000</v>
      </c>
      <c r="E65" s="23">
        <f>414465.01+25.12</f>
        <v>414490.13</v>
      </c>
      <c r="F65" s="23">
        <v>333000</v>
      </c>
    </row>
    <row r="66" spans="1:7">
      <c r="C66" s="15"/>
      <c r="D66" s="249">
        <f>SUM(D65:D65)</f>
        <v>333000</v>
      </c>
      <c r="E66" s="66">
        <f>SUM(E65:E65)</f>
        <v>414490.13</v>
      </c>
      <c r="F66" s="66">
        <f>SUM(F65:F65)</f>
        <v>333000</v>
      </c>
    </row>
    <row r="67" spans="1:7">
      <c r="C67" s="65" t="s">
        <v>151</v>
      </c>
      <c r="D67" s="251"/>
      <c r="E67" s="23"/>
      <c r="F67" s="23"/>
      <c r="G67" s="291"/>
    </row>
    <row r="68" spans="1:7">
      <c r="C68" s="15" t="s">
        <v>217</v>
      </c>
      <c r="D68" s="251">
        <v>4901.7</v>
      </c>
      <c r="E68" s="23">
        <v>2909.54</v>
      </c>
      <c r="F68" s="23">
        <v>10000</v>
      </c>
    </row>
    <row r="69" spans="1:7">
      <c r="A69" s="15">
        <v>6553</v>
      </c>
      <c r="B69" s="15"/>
      <c r="C69" s="115" t="s">
        <v>218</v>
      </c>
      <c r="D69" s="263">
        <v>22390.59</v>
      </c>
      <c r="E69" s="310">
        <v>25370.55</v>
      </c>
      <c r="F69" s="116">
        <f>ROUND(F$103/(Årsverk_FORVALTNING-årsverk_frifond255)*Årsverk_Bærekraftsstøtta,-3)</f>
        <v>35000</v>
      </c>
      <c r="G69" s="291"/>
    </row>
    <row r="70" spans="1:7">
      <c r="A70" s="15">
        <v>5003</v>
      </c>
      <c r="B70" s="15"/>
      <c r="C70" s="115" t="s">
        <v>155</v>
      </c>
      <c r="D70" s="263">
        <v>255374.9</v>
      </c>
      <c r="E70" s="116">
        <v>306506.62</v>
      </c>
      <c r="F70" s="116">
        <f>ROUND('Lønns- og personalkostnader'!F22*Årsverk_Bærekraftsstøtta/Årsverk_FORVALTNING,-3)</f>
        <v>350000</v>
      </c>
    </row>
    <row r="71" spans="1:7">
      <c r="A71" s="15">
        <v>6990</v>
      </c>
      <c r="B71" s="15"/>
      <c r="C71" s="115" t="s">
        <v>156</v>
      </c>
      <c r="D71" s="263">
        <v>103302.54</v>
      </c>
      <c r="E71" s="116">
        <v>79703.42</v>
      </c>
      <c r="F71" s="116">
        <f>ROUND('Fordelte felleskostnader'!F33*Årsverk_Bærekraftsstøtta/Årsverk_TOTALT,-3)</f>
        <v>108000</v>
      </c>
    </row>
    <row r="72" spans="1:7">
      <c r="D72" s="249">
        <f>SUM(D68:D71)</f>
        <v>385969.73</v>
      </c>
      <c r="E72" s="66">
        <f>SUM(E68:E71)</f>
        <v>414490.13</v>
      </c>
      <c r="F72" s="66">
        <f>SUM(F68:F71)</f>
        <v>503000</v>
      </c>
    </row>
    <row r="73" spans="1:7" ht="18" thickBot="1">
      <c r="C73" s="98" t="s">
        <v>95</v>
      </c>
      <c r="D73" s="248">
        <f>D66-D72</f>
        <v>-52969.729999999981</v>
      </c>
      <c r="E73" s="99">
        <f>E66-E72</f>
        <v>0</v>
      </c>
      <c r="F73" s="99">
        <f>F66-F72</f>
        <v>-170000</v>
      </c>
    </row>
    <row r="75" spans="1:7">
      <c r="C75" s="212"/>
      <c r="D75" s="25"/>
      <c r="E75" s="25"/>
      <c r="F75" s="25"/>
    </row>
    <row r="76" spans="1:7">
      <c r="A76" s="388">
        <v>61500</v>
      </c>
      <c r="B76" s="388"/>
      <c r="C76" s="388" t="s">
        <v>229</v>
      </c>
      <c r="D76" s="321" t="str">
        <f>regnskap</f>
        <v>Rekneskap 2024</v>
      </c>
      <c r="E76" s="321" t="str">
        <f>'Budsjett 2025'!E$8</f>
        <v>Regnskap 2025</v>
      </c>
      <c r="F76" s="321" t="str">
        <f>'Budsjett 2025'!F$8</f>
        <v>Budsjett 2025 rev. 2</v>
      </c>
      <c r="G76" s="289" t="s">
        <v>230</v>
      </c>
    </row>
    <row r="77" spans="1:7">
      <c r="C77" s="65" t="s">
        <v>144</v>
      </c>
    </row>
    <row r="78" spans="1:7">
      <c r="A78" s="15">
        <v>3410</v>
      </c>
      <c r="B78" s="15"/>
      <c r="C78" s="15" t="s">
        <v>231</v>
      </c>
      <c r="D78" s="251">
        <v>276944.46999999997</v>
      </c>
      <c r="E78" s="23">
        <v>5272.29</v>
      </c>
      <c r="F78" s="23">
        <v>5273</v>
      </c>
    </row>
    <row r="79" spans="1:7">
      <c r="C79" s="15"/>
      <c r="D79" s="249">
        <f>SUM(D78:D78)</f>
        <v>276944.46999999997</v>
      </c>
      <c r="E79" s="66">
        <f>SUM(E78:E78)</f>
        <v>5272.29</v>
      </c>
      <c r="F79" s="66">
        <f>SUM(F78:F78)</f>
        <v>5273</v>
      </c>
    </row>
    <row r="80" spans="1:7">
      <c r="C80" s="65" t="s">
        <v>151</v>
      </c>
      <c r="D80" s="251"/>
      <c r="E80" s="23"/>
      <c r="F80" s="23"/>
    </row>
    <row r="81" spans="1:8">
      <c r="C81" s="15" t="s">
        <v>232</v>
      </c>
      <c r="D81" s="251">
        <v>136367.46</v>
      </c>
      <c r="E81" s="23">
        <v>0</v>
      </c>
      <c r="F81" s="23">
        <v>0</v>
      </c>
    </row>
    <row r="82" spans="1:8">
      <c r="A82" s="15">
        <v>5003</v>
      </c>
      <c r="B82" s="15"/>
      <c r="C82" s="115" t="s">
        <v>155</v>
      </c>
      <c r="D82" s="263">
        <v>103914.02</v>
      </c>
      <c r="E82" s="116">
        <f>('Lønns- og personalkostnader'!E22*Årsverk_forvaltningsutveksling/Årsverk_FORVALTNING)</f>
        <v>0</v>
      </c>
      <c r="F82" s="116">
        <f>ROUND('Lønns- og personalkostnader'!G22*Årsverk_forvaltningsutveksling/Årsverk_FORVALTNING,-3)</f>
        <v>0</v>
      </c>
    </row>
    <row r="83" spans="1:8">
      <c r="A83" s="15">
        <v>6990</v>
      </c>
      <c r="B83" s="15"/>
      <c r="C83" s="115" t="s">
        <v>156</v>
      </c>
      <c r="D83" s="263">
        <v>41953.95</v>
      </c>
      <c r="E83" s="116">
        <f>('Fordelte felleskostnader'!E33*Årsverk_forvaltningsutveksling/Årsverk_TOTALT)</f>
        <v>0</v>
      </c>
      <c r="F83" s="116">
        <f>ROUND('Fordelte felleskostnader'!G33*Årsverk_forvaltningsutveksling/Årsverk_TOTALT,-3)</f>
        <v>0</v>
      </c>
    </row>
    <row r="84" spans="1:8">
      <c r="D84" s="249">
        <f>SUM(D81:D83)</f>
        <v>282235.43</v>
      </c>
      <c r="E84" s="66">
        <f>SUM(E81:E83)</f>
        <v>0</v>
      </c>
      <c r="F84" s="66">
        <f>SUM(F81:F83)</f>
        <v>0</v>
      </c>
    </row>
    <row r="85" spans="1:8" ht="18" thickBot="1">
      <c r="C85" s="98" t="s">
        <v>95</v>
      </c>
      <c r="D85" s="248">
        <f>D79-D84</f>
        <v>-5290.960000000021</v>
      </c>
      <c r="E85" s="99">
        <f>E79-E84</f>
        <v>5272.29</v>
      </c>
      <c r="F85" s="99">
        <f>F79-F84</f>
        <v>5273</v>
      </c>
    </row>
    <row r="86" spans="1:8">
      <c r="C86" s="212"/>
      <c r="D86" s="25"/>
      <c r="E86" s="25"/>
      <c r="F86" s="25"/>
    </row>
    <row r="87" spans="1:8">
      <c r="D87" s="66"/>
      <c r="E87" s="66"/>
      <c r="F87" s="66"/>
    </row>
    <row r="88" spans="1:8">
      <c r="A88" s="388">
        <v>38200</v>
      </c>
      <c r="B88" s="388"/>
      <c r="C88" s="388" t="s">
        <v>62</v>
      </c>
      <c r="D88" s="321" t="str">
        <f>regnskap</f>
        <v>Rekneskap 2024</v>
      </c>
      <c r="E88" s="321" t="str">
        <f>'Budsjett 2025'!E$8</f>
        <v>Regnskap 2025</v>
      </c>
      <c r="F88" s="321" t="str">
        <f>'Budsjett 2025'!F$8</f>
        <v>Budsjett 2025 rev. 2</v>
      </c>
      <c r="G88" s="289" t="s">
        <v>233</v>
      </c>
    </row>
    <row r="89" spans="1:8">
      <c r="C89" s="65" t="s">
        <v>144</v>
      </c>
    </row>
    <row r="90" spans="1:8">
      <c r="A90" s="15"/>
      <c r="B90" s="15"/>
      <c r="C90" s="15" t="s">
        <v>234</v>
      </c>
      <c r="D90" s="251">
        <v>0</v>
      </c>
      <c r="E90" s="23">
        <v>720279</v>
      </c>
      <c r="F90" s="23">
        <v>720279</v>
      </c>
    </row>
    <row r="91" spans="1:8">
      <c r="A91" s="15"/>
      <c r="B91" s="15"/>
      <c r="C91" s="15" t="s">
        <v>235</v>
      </c>
      <c r="D91" s="251">
        <v>0</v>
      </c>
      <c r="E91" s="23">
        <v>0</v>
      </c>
      <c r="F91" s="23">
        <f>999000-F90</f>
        <v>278721</v>
      </c>
      <c r="G91" s="291"/>
      <c r="H91" s="25"/>
    </row>
    <row r="92" spans="1:8">
      <c r="A92" s="222">
        <v>3401</v>
      </c>
      <c r="B92" s="69"/>
      <c r="C92" s="15" t="s">
        <v>160</v>
      </c>
      <c r="D92" s="251"/>
      <c r="E92" s="218">
        <f>-7908.71+9.01</f>
        <v>-7899.7</v>
      </c>
      <c r="F92" s="23"/>
      <c r="G92" s="291"/>
      <c r="H92" s="25"/>
    </row>
    <row r="93" spans="1:8">
      <c r="C93" s="15"/>
      <c r="D93" s="249">
        <f>SUM(D90:D90)</f>
        <v>0</v>
      </c>
      <c r="E93" s="66">
        <f>SUM(E90:E92)</f>
        <v>712379.3</v>
      </c>
      <c r="F93" s="66">
        <f>SUM(F90:F91)</f>
        <v>999000</v>
      </c>
    </row>
    <row r="94" spans="1:8">
      <c r="C94" s="65" t="s">
        <v>151</v>
      </c>
      <c r="D94" s="251"/>
      <c r="E94" s="23"/>
      <c r="F94" s="23"/>
    </row>
    <row r="95" spans="1:8">
      <c r="C95" s="15" t="s">
        <v>232</v>
      </c>
      <c r="D95" s="251">
        <v>0</v>
      </c>
      <c r="E95" s="23">
        <v>573739.80000000005</v>
      </c>
      <c r="F95" s="23">
        <v>760000</v>
      </c>
    </row>
    <row r="96" spans="1:8">
      <c r="A96" s="15">
        <v>5003</v>
      </c>
      <c r="B96" s="15"/>
      <c r="C96" s="115" t="s">
        <v>155</v>
      </c>
      <c r="D96" s="263">
        <v>0</v>
      </c>
      <c r="E96" s="116">
        <v>110028.02</v>
      </c>
      <c r="F96" s="116">
        <f>ROUND('Lønns- og personalkostnader'!F22*årsverk_frifond255/Årsverk_FORVALTNING,-3)</f>
        <v>183000</v>
      </c>
    </row>
    <row r="97" spans="1:6">
      <c r="A97" s="15">
        <v>6990</v>
      </c>
      <c r="B97" s="15"/>
      <c r="C97" s="115" t="s">
        <v>156</v>
      </c>
      <c r="D97" s="263">
        <v>0</v>
      </c>
      <c r="E97" s="116">
        <v>28611.48</v>
      </c>
      <c r="F97" s="116">
        <f>ROUND('Fordelte felleskostnader'!F33*årsverk_frifond255/Årsverk_TOTALT,-3)</f>
        <v>56000</v>
      </c>
    </row>
    <row r="98" spans="1:6">
      <c r="D98" s="249">
        <f>SUM(D95:D97)</f>
        <v>0</v>
      </c>
      <c r="E98" s="66">
        <f>SUM(E95:E97)</f>
        <v>712379.3</v>
      </c>
      <c r="F98" s="66">
        <f>SUM(F95:F97)</f>
        <v>999000</v>
      </c>
    </row>
    <row r="99" spans="1:6" ht="18" thickBot="1">
      <c r="C99" s="98" t="s">
        <v>95</v>
      </c>
      <c r="D99" s="248">
        <f>D93-D98</f>
        <v>0</v>
      </c>
      <c r="E99" s="99">
        <f>E93-E98</f>
        <v>0</v>
      </c>
      <c r="F99" s="99">
        <f>F93-F98</f>
        <v>0</v>
      </c>
    </row>
    <row r="100" spans="1:6">
      <c r="C100" s="212"/>
      <c r="D100" s="25"/>
      <c r="E100" s="25"/>
      <c r="F100" s="25">
        <f>'Lønns- og personalkostnader'!F22-Forvaltning!F29-Forvaltning!F43-Forvaltning!F57-Forvaltning!F70-Forvaltning!F82-F96-F14</f>
        <v>0</v>
      </c>
    </row>
    <row r="102" spans="1:6">
      <c r="A102" s="389">
        <v>73300</v>
      </c>
      <c r="B102" s="322"/>
      <c r="C102" s="323" t="s">
        <v>236</v>
      </c>
      <c r="D102" s="324"/>
      <c r="E102" s="324"/>
      <c r="F102" s="390"/>
    </row>
    <row r="103" spans="1:6">
      <c r="A103" s="205">
        <v>6553</v>
      </c>
      <c r="B103" s="206"/>
      <c r="C103" s="206" t="s">
        <v>237</v>
      </c>
      <c r="D103" s="264">
        <v>417968.16</v>
      </c>
      <c r="E103" s="199">
        <v>528029.98</v>
      </c>
      <c r="F103" s="238">
        <v>550000</v>
      </c>
    </row>
    <row r="104" spans="1:6">
      <c r="A104" s="207"/>
      <c r="B104" s="208"/>
      <c r="C104" s="208"/>
      <c r="D104" s="209">
        <f>SUM(D103:D103)</f>
        <v>417968.16</v>
      </c>
      <c r="E104" s="209">
        <f>SUM(E103:E103)</f>
        <v>528029.98</v>
      </c>
      <c r="F104" s="210">
        <f>SUM(F103:F103)</f>
        <v>550000</v>
      </c>
    </row>
    <row r="105" spans="1:6">
      <c r="A105" s="2" t="s">
        <v>238</v>
      </c>
      <c r="D105" s="25"/>
      <c r="E105" s="34">
        <f>E103-(E13+E28+E42+E56+E69)</f>
        <v>0</v>
      </c>
      <c r="F105" s="34">
        <f>F103-(F13+F28+F42+F56+F69)</f>
        <v>-1000</v>
      </c>
    </row>
    <row r="106" spans="1:6">
      <c r="D106" s="25"/>
      <c r="E106" s="34"/>
      <c r="F106" s="34"/>
    </row>
    <row r="107" spans="1:6">
      <c r="C107" s="212" t="s">
        <v>191</v>
      </c>
      <c r="E107" s="25">
        <f>E96+E70+E57+E43+E29+E14+E82</f>
        <v>5800048.4299999997</v>
      </c>
      <c r="F107" s="25">
        <f>F96+F70+F57+F43+F29+F14</f>
        <v>5684000</v>
      </c>
    </row>
    <row r="108" spans="1:6">
      <c r="C108" s="212" t="s">
        <v>192</v>
      </c>
      <c r="E108" s="25">
        <f>E97+E71+E58+E44+E30+E15</f>
        <v>1508233.94</v>
      </c>
      <c r="F108" s="25">
        <f>F97+F71+F58+F44+F30+F15</f>
        <v>1748000</v>
      </c>
    </row>
  </sheetData>
  <sheetProtection algorithmName="SHA-512" hashValue="Q0WglamRpwGcwRuQTwQdIrNumNjXFozS2eu0uJA4zIpSdti/XDtXK6fxahDR3fw/vQ2PpB5na95IhpHh89GRig==" saltValue="D68MoVGbzNJdKo5XBCmcvw==" spinCount="100000" sheet="1" formatCells="0" formatColumns="0" formatRows="0" insertColumns="0" insertRows="0" insertHyperlinks="0" deleteColumns="0" deleteRows="0" sort="0" autoFilter="0" pivotTables="0"/>
  <phoneticPr fontId="7" type="noConversion"/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9427-A446-442E-AF8E-CCE29C09BC20}">
  <sheetPr codeName="Ark6">
    <tabColor theme="2" tint="-9.9978637043366805E-2"/>
  </sheetPr>
  <dimension ref="A1:J29"/>
  <sheetViews>
    <sheetView showGridLines="0" topLeftCell="A11" zoomScaleNormal="100" workbookViewId="0">
      <selection activeCell="F26" sqref="F26"/>
    </sheetView>
  </sheetViews>
  <sheetFormatPr baseColWidth="10" defaultColWidth="11.42578125" defaultRowHeight="17.25"/>
  <cols>
    <col min="1" max="1" width="11.7109375" style="2" customWidth="1"/>
    <col min="2" max="2" width="5.28515625" style="2" customWidth="1"/>
    <col min="3" max="3" width="65.85546875" style="2" bestFit="1" customWidth="1"/>
    <col min="4" max="6" width="25.28515625" style="2" customWidth="1"/>
    <col min="7" max="7" width="65.85546875" style="15" bestFit="1" customWidth="1"/>
    <col min="8" max="16384" width="11.42578125" style="2"/>
  </cols>
  <sheetData>
    <row r="1" spans="1:10" ht="21">
      <c r="A1" s="89" t="s">
        <v>65</v>
      </c>
      <c r="B1" s="14"/>
      <c r="C1" s="15"/>
      <c r="D1" s="15"/>
      <c r="E1" s="15"/>
    </row>
    <row r="2" spans="1:10">
      <c r="A2" s="15"/>
      <c r="B2" s="15"/>
      <c r="C2" s="15"/>
      <c r="D2" s="15"/>
      <c r="E2" s="15"/>
    </row>
    <row r="3" spans="1:10">
      <c r="A3" s="70" t="s">
        <v>92</v>
      </c>
      <c r="B3" s="21"/>
      <c r="C3" s="15"/>
      <c r="D3" s="15"/>
      <c r="E3" s="15"/>
    </row>
    <row r="4" spans="1:10">
      <c r="A4" s="391"/>
      <c r="B4" s="391"/>
      <c r="C4" s="392" t="s">
        <v>239</v>
      </c>
      <c r="D4" s="328" t="str">
        <f>'Budsjett 2025'!D$8</f>
        <v>Rekneskap 2024</v>
      </c>
      <c r="E4" s="328" t="str">
        <f>'Budsjett 2025'!E$8</f>
        <v>Regnskap 2025</v>
      </c>
      <c r="F4" s="328" t="str">
        <f>'Budsjett 2025'!F$8</f>
        <v>Budsjett 2025 rev. 2</v>
      </c>
    </row>
    <row r="5" spans="1:10">
      <c r="A5" s="21"/>
      <c r="B5" s="21"/>
      <c r="C5" s="65" t="s">
        <v>151</v>
      </c>
      <c r="D5" s="110"/>
      <c r="E5" s="110"/>
      <c r="F5" s="110"/>
    </row>
    <row r="6" spans="1:10">
      <c r="A6" s="111">
        <v>51000</v>
      </c>
      <c r="B6" s="84"/>
      <c r="C6" s="85" t="s">
        <v>240</v>
      </c>
      <c r="D6" s="267">
        <v>86529.07</v>
      </c>
      <c r="E6" s="16">
        <v>100141.77</v>
      </c>
      <c r="F6" s="7">
        <v>95000</v>
      </c>
      <c r="G6" s="15" t="s">
        <v>241</v>
      </c>
    </row>
    <row r="7" spans="1:10">
      <c r="A7" s="111">
        <v>52000</v>
      </c>
      <c r="B7" s="84"/>
      <c r="C7" s="85" t="s">
        <v>242</v>
      </c>
      <c r="D7" s="266">
        <v>2833.75</v>
      </c>
      <c r="E7" s="16">
        <v>36314.78</v>
      </c>
      <c r="F7" s="7">
        <v>20000</v>
      </c>
      <c r="G7" s="7" t="s">
        <v>241</v>
      </c>
    </row>
    <row r="8" spans="1:10">
      <c r="A8" s="111">
        <v>53000</v>
      </c>
      <c r="B8" s="84"/>
      <c r="C8" s="5" t="s">
        <v>243</v>
      </c>
      <c r="D8" s="266">
        <v>41854.74</v>
      </c>
      <c r="E8" s="281">
        <v>44315.16</v>
      </c>
      <c r="F8" s="7">
        <v>60000</v>
      </c>
      <c r="G8" s="15" t="s">
        <v>244</v>
      </c>
    </row>
    <row r="9" spans="1:10">
      <c r="A9" s="111">
        <v>54000</v>
      </c>
      <c r="B9" s="84"/>
      <c r="C9" s="5" t="s">
        <v>245</v>
      </c>
      <c r="D9" s="16">
        <v>0</v>
      </c>
      <c r="E9" s="16">
        <v>10242.1</v>
      </c>
      <c r="F9" s="7">
        <v>20000</v>
      </c>
      <c r="G9" s="15" t="s">
        <v>246</v>
      </c>
    </row>
    <row r="10" spans="1:10">
      <c r="A10" s="69">
        <v>5003</v>
      </c>
      <c r="B10" s="15"/>
      <c r="C10" s="117" t="s">
        <v>155</v>
      </c>
      <c r="D10" s="265">
        <v>1633253.4843676221</v>
      </c>
      <c r="E10" s="120">
        <v>1718192.75</v>
      </c>
      <c r="F10" s="120">
        <f>ROUND('Lønns- og personalkostnader'!F32*Årsverk_Komm/Årsverk_KOMMUNIKASJON,-3)</f>
        <v>2065000</v>
      </c>
    </row>
    <row r="11" spans="1:10">
      <c r="A11" s="69">
        <v>6990</v>
      </c>
      <c r="B11" s="15"/>
      <c r="C11" s="117" t="s">
        <v>156</v>
      </c>
      <c r="D11" s="265">
        <v>656279.6143338955</v>
      </c>
      <c r="E11" s="118">
        <v>582448.06999999995</v>
      </c>
      <c r="F11" s="118">
        <f>ROUND('Fordelte felleskostnader'!F33*Årsverk_Komm/Årsverk_TOTALT,-3)</f>
        <v>639000</v>
      </c>
    </row>
    <row r="12" spans="1:10">
      <c r="A12" s="15"/>
      <c r="B12" s="15"/>
      <c r="C12" s="21"/>
      <c r="D12" s="66">
        <f>SUM(D6:D11)</f>
        <v>2420750.6587015176</v>
      </c>
      <c r="E12" s="66">
        <f>SUM(E6:E11)</f>
        <v>2491654.63</v>
      </c>
      <c r="F12" s="66">
        <f>SUM(F6:F11)</f>
        <v>2899000</v>
      </c>
    </row>
    <row r="13" spans="1:10">
      <c r="A13" s="15"/>
      <c r="B13" s="15"/>
      <c r="C13" s="98" t="s">
        <v>95</v>
      </c>
      <c r="D13" s="99">
        <f>-D12</f>
        <v>-2420750.6587015176</v>
      </c>
      <c r="E13" s="99">
        <f>-E12</f>
        <v>-2491654.63</v>
      </c>
      <c r="F13" s="99">
        <f>-F12</f>
        <v>-2899000</v>
      </c>
      <c r="G13" s="22"/>
    </row>
    <row r="14" spans="1:10">
      <c r="A14" s="15"/>
      <c r="B14" s="15"/>
      <c r="C14" s="65"/>
      <c r="D14" s="66"/>
      <c r="E14" s="66"/>
      <c r="G14" s="24"/>
    </row>
    <row r="15" spans="1:10">
      <c r="A15" s="15"/>
      <c r="B15" s="15"/>
      <c r="C15" s="15"/>
      <c r="D15" s="15"/>
      <c r="E15" s="15"/>
      <c r="G15" s="22"/>
      <c r="I15" s="19"/>
      <c r="J15" s="19"/>
    </row>
    <row r="16" spans="1:10">
      <c r="A16" s="392" t="s">
        <v>247</v>
      </c>
      <c r="B16" s="392"/>
      <c r="C16" s="392" t="s">
        <v>248</v>
      </c>
      <c r="D16" s="328" t="str">
        <f>'Budsjett 2025'!D$8</f>
        <v>Rekneskap 2024</v>
      </c>
      <c r="E16" s="328" t="str">
        <f>'Budsjett 2025'!E$8</f>
        <v>Regnskap 2025</v>
      </c>
      <c r="F16" s="328" t="str">
        <f>'Budsjett 2025'!F$8</f>
        <v>Budsjett 2025 rev. 2</v>
      </c>
      <c r="G16" s="35"/>
    </row>
    <row r="17" spans="1:6">
      <c r="A17" s="15"/>
      <c r="B17" s="15"/>
      <c r="C17" s="65" t="s">
        <v>144</v>
      </c>
      <c r="D17" s="66"/>
      <c r="E17" s="66"/>
      <c r="F17" s="66"/>
    </row>
    <row r="18" spans="1:6">
      <c r="A18" s="15">
        <v>3400</v>
      </c>
      <c r="B18" s="15"/>
      <c r="C18" s="15" t="s">
        <v>249</v>
      </c>
      <c r="D18" s="22">
        <v>0</v>
      </c>
      <c r="E18" s="22">
        <v>0</v>
      </c>
      <c r="F18" s="22">
        <v>0</v>
      </c>
    </row>
    <row r="19" spans="1:6">
      <c r="A19" s="15"/>
      <c r="B19" s="15"/>
      <c r="C19" s="65"/>
      <c r="D19" s="66">
        <f>SUM(D18:D18)</f>
        <v>0</v>
      </c>
      <c r="E19" s="66">
        <f>SUM(E18:E18)</f>
        <v>0</v>
      </c>
      <c r="F19" s="66">
        <f>SUM(F18:F18)</f>
        <v>0</v>
      </c>
    </row>
    <row r="20" spans="1:6">
      <c r="A20" s="15"/>
      <c r="B20" s="15"/>
      <c r="C20" s="65" t="s">
        <v>151</v>
      </c>
      <c r="D20" s="66"/>
      <c r="E20" s="66"/>
      <c r="F20" s="66"/>
    </row>
    <row r="21" spans="1:6">
      <c r="A21" s="15"/>
      <c r="B21" s="15"/>
      <c r="C21" s="5" t="s">
        <v>162</v>
      </c>
      <c r="D21" s="32">
        <v>0</v>
      </c>
      <c r="E21" s="32">
        <v>0</v>
      </c>
      <c r="F21" s="22">
        <v>0</v>
      </c>
    </row>
    <row r="22" spans="1:6">
      <c r="A22" s="15">
        <v>5003</v>
      </c>
      <c r="B22" s="15"/>
      <c r="C22" s="225" t="s">
        <v>155</v>
      </c>
      <c r="D22" s="226">
        <v>0</v>
      </c>
      <c r="E22" s="226">
        <v>0</v>
      </c>
      <c r="F22" s="226">
        <f>ROUND('Lønns- og personalkostnader'!G32*Årsverk_Valgkampanje/Årsverk_KOMMUNIKASJON,-3)</f>
        <v>0</v>
      </c>
    </row>
    <row r="23" spans="1:6">
      <c r="A23" s="15">
        <v>6990</v>
      </c>
      <c r="B23" s="15"/>
      <c r="C23" s="225" t="s">
        <v>156</v>
      </c>
      <c r="D23" s="226">
        <v>0</v>
      </c>
      <c r="E23" s="226">
        <v>0</v>
      </c>
      <c r="F23" s="226">
        <f>ROUND('Fordelte felleskostnader'!H33*Årsverk_Valgkampanje/Årsverk_TOTALT,-3)</f>
        <v>0</v>
      </c>
    </row>
    <row r="24" spans="1:6">
      <c r="D24" s="66">
        <f>SUM(D21:D23)</f>
        <v>0</v>
      </c>
      <c r="E24" s="66">
        <f>SUM(E21:E23)</f>
        <v>0</v>
      </c>
      <c r="F24" s="66">
        <f>SUM(F21:F23)</f>
        <v>0</v>
      </c>
    </row>
    <row r="25" spans="1:6">
      <c r="A25" s="15"/>
      <c r="B25" s="15"/>
      <c r="C25" s="98" t="s">
        <v>95</v>
      </c>
      <c r="D25" s="99">
        <f>D19-D24</f>
        <v>0</v>
      </c>
      <c r="E25" s="99">
        <f>E19-E24</f>
        <v>0</v>
      </c>
      <c r="F25" s="99">
        <f>F19-F24</f>
        <v>0</v>
      </c>
    </row>
    <row r="26" spans="1:6">
      <c r="C26" s="212" t="s">
        <v>191</v>
      </c>
      <c r="D26" s="25"/>
      <c r="E26" s="25"/>
      <c r="F26" s="25">
        <f>'Lønns- og personalkostnader'!G32-Kommunikasjon!F10-Kommunikasjon!F22</f>
        <v>-2065000</v>
      </c>
    </row>
    <row r="27" spans="1:6">
      <c r="C27" s="212"/>
      <c r="D27" s="25"/>
      <c r="E27" s="25"/>
      <c r="F27" s="25"/>
    </row>
    <row r="28" spans="1:6">
      <c r="C28" s="212" t="s">
        <v>191</v>
      </c>
      <c r="D28" s="25"/>
      <c r="E28" s="19">
        <f>E10+E22</f>
        <v>1718192.75</v>
      </c>
      <c r="F28" s="19">
        <f>F10</f>
        <v>2065000</v>
      </c>
    </row>
    <row r="29" spans="1:6">
      <c r="C29" s="212" t="s">
        <v>192</v>
      </c>
      <c r="E29" s="19">
        <f>E11+E23</f>
        <v>582448.06999999995</v>
      </c>
      <c r="F29" s="19">
        <f>F11</f>
        <v>639000</v>
      </c>
    </row>
  </sheetData>
  <sheetProtection algorithmName="SHA-512" hashValue="qQiyXpyA33g8usLK1XNUqaWPTT32LN/sK9YTqJmI+sGnawlI+P0qg3nNMnJ8SCIPuaRNnZBz/Ry4SrTPQqKKFQ==" saltValue="1pO5n5r3Dc/kmcUWFDB8MA==" spinCount="100000" sheet="1" formatCells="0" formatColumns="0" formatRows="0" insertColumns="0" insertRows="0" insertHyperlinks="0" deleteColumns="0" deleteRows="0" sort="0" autoFilter="0" pivotTables="0"/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8E9C-F2E8-4D69-A0F4-3AD0FA29F6CA}">
  <sheetPr codeName="Ark7">
    <tabColor theme="2" tint="-9.9978637043366805E-2"/>
  </sheetPr>
  <dimension ref="A1:N37"/>
  <sheetViews>
    <sheetView showGridLines="0" topLeftCell="B1" zoomScaleNormal="100" workbookViewId="0">
      <selection activeCell="G8" sqref="G8"/>
    </sheetView>
  </sheetViews>
  <sheetFormatPr baseColWidth="10" defaultColWidth="11.42578125" defaultRowHeight="17.25"/>
  <cols>
    <col min="1" max="1" width="11.7109375" style="2" customWidth="1"/>
    <col min="2" max="2" width="5.28515625" style="2" customWidth="1"/>
    <col min="3" max="3" width="65.85546875" style="2" bestFit="1" customWidth="1"/>
    <col min="4" max="6" width="25.28515625" style="2" customWidth="1"/>
    <col min="7" max="7" width="29.7109375" style="15" customWidth="1"/>
    <col min="8" max="8" width="81.7109375" style="2" customWidth="1"/>
    <col min="9" max="16384" width="11.42578125" style="2"/>
  </cols>
  <sheetData>
    <row r="1" spans="1:8" ht="21">
      <c r="A1" s="89" t="s">
        <v>71</v>
      </c>
      <c r="B1" s="14"/>
    </row>
    <row r="2" spans="1:8">
      <c r="A2" s="15"/>
      <c r="B2" s="15"/>
      <c r="C2" s="15"/>
      <c r="D2" s="15"/>
      <c r="E2" s="15"/>
      <c r="F2" s="15"/>
    </row>
    <row r="3" spans="1:8">
      <c r="A3" s="70" t="s">
        <v>92</v>
      </c>
      <c r="B3" s="21"/>
      <c r="C3" s="21"/>
      <c r="D3" s="15"/>
      <c r="E3" s="15"/>
      <c r="F3" s="15"/>
    </row>
    <row r="4" spans="1:8">
      <c r="A4" s="326"/>
      <c r="B4" s="326"/>
      <c r="C4" s="327" t="s">
        <v>250</v>
      </c>
      <c r="D4" s="393" t="str">
        <f>'Budsjett 2025'!D$8</f>
        <v>Rekneskap 2024</v>
      </c>
      <c r="E4" s="393" t="str">
        <f>'Budsjett 2025'!E$8</f>
        <v>Regnskap 2025</v>
      </c>
      <c r="F4" s="393" t="str">
        <f>'Budsjett 2025'!F$8</f>
        <v>Budsjett 2025 rev. 2</v>
      </c>
    </row>
    <row r="5" spans="1:8">
      <c r="A5" s="21"/>
      <c r="B5" s="21"/>
      <c r="C5" s="65" t="s">
        <v>151</v>
      </c>
      <c r="D5" s="113"/>
      <c r="E5" s="113"/>
      <c r="F5" s="113"/>
    </row>
    <row r="6" spans="1:8">
      <c r="A6" s="111">
        <v>80000</v>
      </c>
      <c r="B6" s="84"/>
      <c r="C6" s="5" t="s">
        <v>251</v>
      </c>
      <c r="D6" s="32">
        <v>199517.93</v>
      </c>
      <c r="E6" s="16">
        <v>177618.37</v>
      </c>
      <c r="F6" s="16">
        <v>175716</v>
      </c>
      <c r="G6" s="17"/>
    </row>
    <row r="7" spans="1:8">
      <c r="A7" s="111">
        <v>81000</v>
      </c>
      <c r="B7" s="84"/>
      <c r="C7" s="5" t="s">
        <v>252</v>
      </c>
      <c r="D7" s="32">
        <f>116662.35+146+1000</f>
        <v>117808.35</v>
      </c>
      <c r="E7" s="281">
        <v>138584.07</v>
      </c>
      <c r="F7" s="16">
        <v>130000</v>
      </c>
    </row>
    <row r="8" spans="1:8" s="4" customFormat="1">
      <c r="A8" s="111">
        <v>82100</v>
      </c>
      <c r="B8" s="84"/>
      <c r="C8" s="5" t="s">
        <v>253</v>
      </c>
      <c r="D8" s="32">
        <v>4564.67</v>
      </c>
      <c r="E8" s="281">
        <v>9755.4500000000007</v>
      </c>
      <c r="F8" s="16">
        <v>8000</v>
      </c>
      <c r="G8" s="15"/>
      <c r="H8" s="2"/>
    </row>
    <row r="9" spans="1:8" s="4" customFormat="1">
      <c r="A9" s="111">
        <v>82000</v>
      </c>
      <c r="B9" s="84"/>
      <c r="C9" s="5" t="s">
        <v>254</v>
      </c>
      <c r="D9" s="32">
        <f>580786.58-9870</f>
        <v>570916.57999999996</v>
      </c>
      <c r="E9" s="32">
        <v>703259.33</v>
      </c>
      <c r="F9" s="32">
        <v>705000</v>
      </c>
      <c r="G9" s="15" t="s">
        <v>255</v>
      </c>
      <c r="H9" s="2"/>
    </row>
    <row r="10" spans="1:8" s="4" customFormat="1">
      <c r="A10" s="111"/>
      <c r="B10" s="84"/>
      <c r="C10" s="5" t="s">
        <v>256</v>
      </c>
      <c r="D10" s="32">
        <v>79870</v>
      </c>
      <c r="E10" s="32">
        <v>0</v>
      </c>
      <c r="F10" s="32">
        <v>0</v>
      </c>
      <c r="G10" s="15" t="s">
        <v>257</v>
      </c>
      <c r="H10" s="2"/>
    </row>
    <row r="11" spans="1:8" s="4" customFormat="1">
      <c r="A11" s="84"/>
      <c r="B11" s="84"/>
      <c r="C11" s="21"/>
      <c r="D11" s="66">
        <f>SUM(D6:D10)</f>
        <v>972677.53</v>
      </c>
      <c r="E11" s="66">
        <f>SUM(E6:E10)</f>
        <v>1029217.22</v>
      </c>
      <c r="F11" s="66">
        <f>SUM(F6:F10)</f>
        <v>1018716</v>
      </c>
      <c r="G11" s="15"/>
      <c r="H11" s="2"/>
    </row>
    <row r="12" spans="1:8" s="4" customFormat="1" ht="18" thickBot="1">
      <c r="A12" s="84"/>
      <c r="B12" s="84"/>
      <c r="C12" s="98" t="s">
        <v>95</v>
      </c>
      <c r="D12" s="99">
        <f>-D11</f>
        <v>-972677.53</v>
      </c>
      <c r="E12" s="99">
        <f>-E11</f>
        <v>-1029217.22</v>
      </c>
      <c r="F12" s="99">
        <f>-F11</f>
        <v>-1018716</v>
      </c>
      <c r="G12" s="15"/>
      <c r="H12" s="2"/>
    </row>
    <row r="13" spans="1:8" s="4" customFormat="1">
      <c r="A13" s="84"/>
      <c r="B13" s="84"/>
      <c r="C13" s="65"/>
      <c r="D13" s="66"/>
      <c r="E13" s="66"/>
      <c r="F13" s="66"/>
      <c r="G13" s="24"/>
      <c r="H13" s="2"/>
    </row>
    <row r="14" spans="1:8" s="4" customFormat="1">
      <c r="G14" s="22"/>
      <c r="H14" s="2"/>
    </row>
    <row r="15" spans="1:8">
      <c r="A15" s="326"/>
      <c r="B15" s="326"/>
      <c r="C15" s="327" t="s">
        <v>258</v>
      </c>
      <c r="D15" s="393" t="str">
        <f>'Budsjett 2025'!D$8</f>
        <v>Rekneskap 2024</v>
      </c>
      <c r="E15" s="393" t="str">
        <f>'Budsjett 2025'!E$8</f>
        <v>Regnskap 2025</v>
      </c>
      <c r="F15" s="393" t="str">
        <f>'Budsjett 2025'!F$8</f>
        <v>Budsjett 2025 rev. 2</v>
      </c>
      <c r="G15" s="35"/>
    </row>
    <row r="16" spans="1:8">
      <c r="A16" s="87">
        <v>86000</v>
      </c>
      <c r="B16" s="87"/>
      <c r="C16" s="87" t="s">
        <v>259</v>
      </c>
      <c r="D16" s="88">
        <v>73573.850000000006</v>
      </c>
      <c r="E16" s="88">
        <f>113288.1-74302.6</f>
        <v>38985.5</v>
      </c>
      <c r="F16" s="88">
        <f>2000*20+10000+100000+10000</f>
        <v>160000</v>
      </c>
      <c r="G16" s="15" t="s">
        <v>260</v>
      </c>
    </row>
    <row r="17" spans="1:14" s="11" customFormat="1" ht="18">
      <c r="A17" s="112">
        <v>86100</v>
      </c>
      <c r="B17" s="112"/>
      <c r="C17" s="15" t="s">
        <v>261</v>
      </c>
      <c r="D17" s="88">
        <v>113085.78</v>
      </c>
      <c r="E17" s="22">
        <v>78750.23</v>
      </c>
      <c r="F17" s="22">
        <v>75000</v>
      </c>
      <c r="G17" s="15" t="s">
        <v>262</v>
      </c>
      <c r="H17" s="2"/>
      <c r="I17" s="18"/>
      <c r="J17" s="18"/>
      <c r="K17" s="18"/>
      <c r="L17" s="18"/>
      <c r="M17" s="18"/>
      <c r="N17" s="18"/>
    </row>
    <row r="18" spans="1:14">
      <c r="A18" s="111">
        <v>88000</v>
      </c>
      <c r="B18" s="84"/>
      <c r="C18" s="5" t="s">
        <v>263</v>
      </c>
      <c r="D18" s="88">
        <v>23382.04</v>
      </c>
      <c r="E18" s="16">
        <v>38858.620000000003</v>
      </c>
      <c r="F18" s="16">
        <v>30000</v>
      </c>
    </row>
    <row r="19" spans="1:14">
      <c r="A19" s="111">
        <v>79900</v>
      </c>
      <c r="B19" s="84"/>
      <c r="C19" s="5" t="s">
        <v>264</v>
      </c>
      <c r="D19" s="88">
        <v>19916.03</v>
      </c>
      <c r="E19" s="16">
        <v>53796.61</v>
      </c>
      <c r="F19" s="16">
        <v>30000</v>
      </c>
    </row>
    <row r="20" spans="1:14">
      <c r="A20" s="111">
        <v>94000</v>
      </c>
      <c r="B20" s="84"/>
      <c r="C20" s="5" t="s">
        <v>265</v>
      </c>
      <c r="D20" s="88">
        <v>69102.320000000007</v>
      </c>
      <c r="E20" s="281">
        <v>0</v>
      </c>
      <c r="F20" s="7">
        <v>0</v>
      </c>
    </row>
    <row r="21" spans="1:14">
      <c r="A21" s="15">
        <v>73300</v>
      </c>
      <c r="B21" s="15"/>
      <c r="C21" s="15" t="s">
        <v>266</v>
      </c>
      <c r="D21" s="88">
        <v>183957.97000000015</v>
      </c>
      <c r="E21" s="7">
        <v>21746.53</v>
      </c>
      <c r="F21" s="23">
        <v>49383.19</v>
      </c>
    </row>
    <row r="22" spans="1:14">
      <c r="A22" s="69">
        <v>5003</v>
      </c>
      <c r="B22" s="69"/>
      <c r="C22" s="117" t="s">
        <v>155</v>
      </c>
      <c r="D22" s="120">
        <f>2455910.92669477+0.47</f>
        <v>2455911.3966947701</v>
      </c>
      <c r="E22" s="120">
        <f>2475921.75</f>
        <v>2475921.75</v>
      </c>
      <c r="F22" s="120">
        <f>ROUND('Lønns- og personalkostnader'!F40*Årsverk_Ikke_fordeltbare_adm/Årsverk_ADMINISTRASJON,-3)</f>
        <v>2472000</v>
      </c>
    </row>
    <row r="23" spans="1:14">
      <c r="A23" s="69">
        <v>6990</v>
      </c>
      <c r="B23" s="69"/>
      <c r="C23" s="117" t="s">
        <v>156</v>
      </c>
      <c r="D23" s="119">
        <f>806946.54158516-17000-441.14</f>
        <v>789505.40158515994</v>
      </c>
      <c r="E23" s="311">
        <f>598496.03+9545.21</f>
        <v>608041.24</v>
      </c>
      <c r="F23" s="119">
        <f>ROUND('Fordelte felleskostnader'!F33*Årsverk_Ikke_fordeltbare_adm/Årsverk_TOTALT,-3)</f>
        <v>731000</v>
      </c>
    </row>
    <row r="24" spans="1:14">
      <c r="A24" s="15"/>
      <c r="B24" s="15"/>
      <c r="C24" s="21"/>
      <c r="D24" s="66">
        <f>SUM(D16:D23)</f>
        <v>3728434.7882799301</v>
      </c>
      <c r="E24" s="66">
        <f>SUM(E16:E23)</f>
        <v>3316100.4800000004</v>
      </c>
      <c r="F24" s="66">
        <f>SUM(F16:F23)</f>
        <v>3547383.19</v>
      </c>
    </row>
    <row r="25" spans="1:14" ht="18" thickBot="1">
      <c r="A25" s="15"/>
      <c r="B25" s="15"/>
      <c r="C25" s="98" t="s">
        <v>95</v>
      </c>
      <c r="D25" s="99">
        <f>-D24</f>
        <v>-3728434.7882799301</v>
      </c>
      <c r="E25" s="99">
        <f>-E24</f>
        <v>-3316100.4800000004</v>
      </c>
      <c r="F25" s="99">
        <f>-F24</f>
        <v>-3547383.19</v>
      </c>
      <c r="G25" s="22"/>
    </row>
    <row r="26" spans="1:14">
      <c r="H26" s="19"/>
      <c r="I26" s="19"/>
    </row>
    <row r="33" spans="4:5">
      <c r="D33" s="223"/>
      <c r="E33" s="223"/>
    </row>
    <row r="37" spans="4:5">
      <c r="D37" s="224"/>
      <c r="E37" s="224"/>
    </row>
  </sheetData>
  <sheetProtection algorithmName="SHA-512" hashValue="I54JY5rXFCEhStHcI6eQjgKeY21QcTRo87v2jraCWFmsJbV8tN+cjacoA9skNFurNrSN9obf1yIzyIhlz25+Sw==" saltValue="uSqqumqMoj56rirNofk5Hw==" spinCount="100000" sheet="1" formatCells="0" formatColumns="0" formatRows="0" insertColumns="0" insertRows="0" insertHyperlinks="0" deleteColumns="0" deleteRows="0" sort="0" autoFilter="0" pivotTables="0"/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43AFF-3370-44E1-AC4E-6C107D01D8E3}">
  <sheetPr codeName="Ark8">
    <tabColor theme="7" tint="0.59999389629810485"/>
    <pageSetUpPr autoPageBreaks="0"/>
  </sheetPr>
  <dimension ref="A1:O74"/>
  <sheetViews>
    <sheetView showGridLines="0" topLeftCell="A50" zoomScaleNormal="100" workbookViewId="0">
      <selection activeCell="G66" sqref="G66"/>
    </sheetView>
  </sheetViews>
  <sheetFormatPr baseColWidth="10" defaultColWidth="12.5703125" defaultRowHeight="18"/>
  <cols>
    <col min="1" max="1" width="11.7109375" style="11" customWidth="1"/>
    <col min="2" max="2" width="5.28515625" style="11" customWidth="1"/>
    <col min="3" max="3" width="65.85546875" style="11" bestFit="1" customWidth="1"/>
    <col min="4" max="6" width="25.28515625" style="11" customWidth="1"/>
    <col min="7" max="7" width="5.28515625" style="11" customWidth="1"/>
    <col min="8" max="8" width="47.85546875" style="11" bestFit="1" customWidth="1"/>
    <col min="9" max="9" width="21.28515625" style="11" bestFit="1" customWidth="1"/>
    <col min="10" max="10" width="74.5703125" style="12" bestFit="1" customWidth="1"/>
    <col min="11" max="11" width="14" style="12" customWidth="1"/>
    <col min="12" max="12" width="13.5703125" style="11" customWidth="1"/>
    <col min="13" max="13" width="15.5703125" style="11" bestFit="1" customWidth="1"/>
    <col min="14" max="14" width="12.5703125" style="11"/>
    <col min="15" max="15" width="12.5703125" style="11" customWidth="1"/>
    <col min="16" max="16384" width="12.5703125" style="11"/>
  </cols>
  <sheetData>
    <row r="1" spans="1:15" ht="21">
      <c r="A1" s="121" t="s">
        <v>267</v>
      </c>
      <c r="B1" s="121"/>
      <c r="C1" s="9"/>
      <c r="D1" s="9"/>
      <c r="E1" s="9"/>
      <c r="H1" s="2"/>
      <c r="I1" s="2"/>
      <c r="K1" s="204"/>
      <c r="L1" s="2"/>
      <c r="M1" s="2"/>
      <c r="N1" s="13"/>
    </row>
    <row r="2" spans="1:15">
      <c r="C2" s="2"/>
      <c r="H2" s="2"/>
      <c r="I2" s="2"/>
    </row>
    <row r="3" spans="1:15">
      <c r="A3" s="70" t="s">
        <v>92</v>
      </c>
      <c r="B3" s="3"/>
      <c r="C3" s="15"/>
      <c r="D3" s="219" t="str">
        <f>'Budsjett 2025'!D$8</f>
        <v>Rekneskap 2024</v>
      </c>
      <c r="E3" s="219" t="str">
        <f>'Budsjett 2025'!E$8</f>
        <v>Regnskap 2025</v>
      </c>
      <c r="F3" s="219" t="str">
        <f>'Budsjett 2025'!F$8</f>
        <v>Budsjett 2025 rev. 2</v>
      </c>
      <c r="G3" s="112"/>
      <c r="H3" s="15"/>
      <c r="I3" s="15"/>
      <c r="J3" s="122"/>
      <c r="K3" s="112"/>
      <c r="M3" s="79"/>
    </row>
    <row r="4" spans="1:15">
      <c r="A4" s="329">
        <v>20</v>
      </c>
      <c r="B4" s="329"/>
      <c r="C4" s="330" t="s">
        <v>268</v>
      </c>
      <c r="D4" s="331">
        <f>SUM(D5:D9)</f>
        <v>2526463.9905340075</v>
      </c>
      <c r="E4" s="331">
        <f>SUM(E5:E9)</f>
        <v>3184188.3699999996</v>
      </c>
      <c r="F4" s="331">
        <f>SUM(F5:F9)</f>
        <v>3254000</v>
      </c>
      <c r="G4" s="332"/>
      <c r="H4" s="330" t="s">
        <v>269</v>
      </c>
      <c r="I4" s="333" t="s">
        <v>270</v>
      </c>
      <c r="J4" s="334"/>
      <c r="K4" s="123"/>
      <c r="L4" s="180"/>
      <c r="M4" s="81"/>
    </row>
    <row r="5" spans="1:15">
      <c r="A5" s="76">
        <v>5000</v>
      </c>
      <c r="B5" s="76"/>
      <c r="C5" s="112" t="s">
        <v>271</v>
      </c>
      <c r="D5" s="269">
        <v>2324082.0299999998</v>
      </c>
      <c r="E5" s="280">
        <v>2911779.23</v>
      </c>
      <c r="F5" s="125">
        <v>2335000</v>
      </c>
      <c r="G5" s="112"/>
      <c r="H5" s="335" t="s">
        <v>272</v>
      </c>
      <c r="I5" s="126">
        <f>0.755+0.35+0.14+0.6</f>
        <v>1.8450000000000002</v>
      </c>
      <c r="J5" s="172" t="s">
        <v>273</v>
      </c>
      <c r="K5" s="145"/>
      <c r="L5" s="179"/>
      <c r="M5" s="2"/>
      <c r="O5" s="203"/>
    </row>
    <row r="6" spans="1:15">
      <c r="A6" s="76">
        <v>5020</v>
      </c>
      <c r="B6" s="76"/>
      <c r="C6" s="112" t="s">
        <v>274</v>
      </c>
      <c r="D6" s="269">
        <v>278889.81</v>
      </c>
      <c r="E6" s="125">
        <v>349413.46</v>
      </c>
      <c r="F6" s="125">
        <v>280000</v>
      </c>
      <c r="G6" s="77"/>
      <c r="H6" s="127" t="s">
        <v>275</v>
      </c>
      <c r="I6" s="126">
        <f>0.65+0.05</f>
        <v>0.70000000000000007</v>
      </c>
      <c r="J6" s="236" t="s">
        <v>276</v>
      </c>
      <c r="K6" s="145"/>
      <c r="L6" s="179"/>
      <c r="M6" s="2"/>
      <c r="O6" s="203"/>
    </row>
    <row r="7" spans="1:15">
      <c r="A7" s="76" t="s">
        <v>277</v>
      </c>
      <c r="B7" s="76"/>
      <c r="C7" s="112" t="s">
        <v>278</v>
      </c>
      <c r="D7" s="269">
        <v>300885.84000000003</v>
      </c>
      <c r="E7" s="125">
        <v>461017.69</v>
      </c>
      <c r="F7" s="125">
        <v>369000</v>
      </c>
      <c r="G7" s="77"/>
      <c r="H7" s="127" t="s">
        <v>279</v>
      </c>
      <c r="I7" s="126">
        <f>0.6+0.05</f>
        <v>0.65</v>
      </c>
      <c r="J7" s="236" t="s">
        <v>280</v>
      </c>
      <c r="K7" s="145"/>
      <c r="L7" s="79"/>
      <c r="M7" s="2"/>
      <c r="O7" s="203"/>
    </row>
    <row r="8" spans="1:15">
      <c r="A8" s="76" t="s">
        <v>281</v>
      </c>
      <c r="B8" s="76"/>
      <c r="C8" s="112" t="s">
        <v>282</v>
      </c>
      <c r="D8" s="270">
        <v>-570391</v>
      </c>
      <c r="E8" s="234">
        <v>-810613.7</v>
      </c>
      <c r="F8" s="125">
        <v>0</v>
      </c>
      <c r="G8" s="112"/>
      <c r="H8" s="127" t="s">
        <v>283</v>
      </c>
      <c r="I8" s="126">
        <f>0.2+0.29+0.08</f>
        <v>0.56999999999999995</v>
      </c>
      <c r="J8" s="172" t="s">
        <v>284</v>
      </c>
      <c r="K8" s="145"/>
      <c r="L8" s="179"/>
      <c r="M8" s="2"/>
      <c r="O8" s="203"/>
    </row>
    <row r="9" spans="1:15">
      <c r="A9" s="9"/>
      <c r="B9" s="9"/>
      <c r="C9" s="129" t="s">
        <v>285</v>
      </c>
      <c r="D9" s="272">
        <v>192997.31053400785</v>
      </c>
      <c r="E9" s="272">
        <v>272591.69</v>
      </c>
      <c r="F9" s="130">
        <f>ROUND(F$66*I12/$I$47,-3)</f>
        <v>270000</v>
      </c>
      <c r="G9" s="112"/>
      <c r="H9" s="127" t="s">
        <v>286</v>
      </c>
      <c r="I9" s="126">
        <f>0.3+0.02</f>
        <v>0.32</v>
      </c>
      <c r="J9" s="172" t="s">
        <v>287</v>
      </c>
      <c r="K9" s="145"/>
      <c r="L9" s="179"/>
      <c r="M9" s="2"/>
      <c r="O9" s="203"/>
    </row>
    <row r="10" spans="1:15">
      <c r="A10" s="9"/>
      <c r="B10" s="9"/>
      <c r="C10" s="112"/>
      <c r="D10" s="112"/>
      <c r="E10" s="112"/>
      <c r="F10" s="131"/>
      <c r="G10" s="112"/>
      <c r="H10" s="127" t="s">
        <v>288</v>
      </c>
      <c r="I10" s="126">
        <v>0.03</v>
      </c>
      <c r="J10" s="172" t="s">
        <v>289</v>
      </c>
      <c r="K10" s="145"/>
      <c r="L10" s="179"/>
      <c r="M10" s="2"/>
      <c r="O10" s="203"/>
    </row>
    <row r="11" spans="1:15">
      <c r="A11" s="9"/>
      <c r="B11" s="9"/>
      <c r="C11" s="112"/>
      <c r="D11" s="112"/>
      <c r="E11" s="112"/>
      <c r="F11" s="131"/>
      <c r="G11" s="112"/>
      <c r="H11" s="127" t="s">
        <v>290</v>
      </c>
      <c r="I11" s="126">
        <v>2.5000000000000001E-2</v>
      </c>
      <c r="J11" s="172" t="s">
        <v>291</v>
      </c>
      <c r="K11" s="145"/>
      <c r="L11" s="179"/>
      <c r="M11" s="2"/>
      <c r="O11" s="203"/>
    </row>
    <row r="12" spans="1:15">
      <c r="C12" s="112"/>
      <c r="D12" s="112"/>
      <c r="E12" s="112"/>
      <c r="F12" s="131"/>
      <c r="G12" s="112"/>
      <c r="H12" s="132" t="s">
        <v>95</v>
      </c>
      <c r="I12" s="133">
        <f>SUM(I5:I11)</f>
        <v>4.1400000000000006</v>
      </c>
      <c r="J12" s="174"/>
      <c r="K12" s="202"/>
      <c r="L12" s="81"/>
      <c r="M12" s="2"/>
    </row>
    <row r="13" spans="1:15">
      <c r="C13" s="112"/>
      <c r="D13" s="112"/>
      <c r="E13" s="112"/>
      <c r="F13" s="147"/>
      <c r="G13" s="112"/>
      <c r="H13" s="112"/>
      <c r="I13" s="183">
        <f>4.14-I12</f>
        <v>0</v>
      </c>
      <c r="J13" s="182" t="s">
        <v>292</v>
      </c>
      <c r="K13" s="122"/>
      <c r="L13" s="81"/>
      <c r="M13" s="2"/>
    </row>
    <row r="14" spans="1:15">
      <c r="A14" s="336">
        <v>40</v>
      </c>
      <c r="B14" s="336"/>
      <c r="C14" s="337" t="s">
        <v>293</v>
      </c>
      <c r="D14" s="338">
        <f>SUM(D15:D19)</f>
        <v>1856563.39128724</v>
      </c>
      <c r="E14" s="338">
        <f>SUM(E15:E19)</f>
        <v>2140277.79</v>
      </c>
      <c r="F14" s="338">
        <f>SUM(F15:F19)</f>
        <v>1735000</v>
      </c>
      <c r="G14" s="339"/>
      <c r="H14" s="337" t="s">
        <v>269</v>
      </c>
      <c r="I14" s="340" t="str">
        <f>I4</f>
        <v>Budsjetterte årsverk 2025</v>
      </c>
      <c r="J14" s="341"/>
      <c r="K14" s="135"/>
      <c r="L14" s="81"/>
      <c r="M14" s="2"/>
    </row>
    <row r="15" spans="1:15">
      <c r="A15" s="76">
        <v>5000</v>
      </c>
      <c r="B15" s="76"/>
      <c r="C15" s="112" t="s">
        <v>271</v>
      </c>
      <c r="D15" s="269">
        <v>1340216.8899999999</v>
      </c>
      <c r="E15" s="280">
        <v>1561707.17</v>
      </c>
      <c r="F15" s="125">
        <v>1243000</v>
      </c>
      <c r="G15" s="112"/>
      <c r="H15" s="342" t="s">
        <v>294</v>
      </c>
      <c r="I15" s="136">
        <f>0.92+(0.25)</f>
        <v>1.17</v>
      </c>
      <c r="J15" s="176" t="s">
        <v>295</v>
      </c>
      <c r="K15" s="137"/>
      <c r="L15" s="82"/>
      <c r="M15" s="2"/>
    </row>
    <row r="16" spans="1:15">
      <c r="A16" s="76">
        <v>5020</v>
      </c>
      <c r="B16" s="76"/>
      <c r="C16" s="112" t="s">
        <v>274</v>
      </c>
      <c r="D16" s="269">
        <v>160825.99000000002</v>
      </c>
      <c r="E16" s="280">
        <v>187404.82</v>
      </c>
      <c r="F16" s="125">
        <v>149000</v>
      </c>
      <c r="G16" s="78"/>
      <c r="H16" s="138" t="s">
        <v>296</v>
      </c>
      <c r="I16" s="136">
        <f>0.83+(0.25)</f>
        <v>1.08</v>
      </c>
      <c r="J16" s="176" t="s">
        <v>297</v>
      </c>
      <c r="K16" s="128"/>
      <c r="L16" s="82"/>
      <c r="M16" s="83"/>
    </row>
    <row r="17" spans="1:14">
      <c r="A17" s="76" t="s">
        <v>277</v>
      </c>
      <c r="B17" s="76"/>
      <c r="C17" s="112" t="s">
        <v>278</v>
      </c>
      <c r="D17" s="269">
        <v>212042.02</v>
      </c>
      <c r="E17" s="280">
        <v>248200.93</v>
      </c>
      <c r="F17" s="125">
        <v>196000</v>
      </c>
      <c r="G17" s="78"/>
      <c r="H17" s="138" t="s">
        <v>298</v>
      </c>
      <c r="I17" s="136">
        <v>0</v>
      </c>
      <c r="J17" s="176"/>
      <c r="K17" s="139"/>
      <c r="L17" s="82"/>
      <c r="M17" s="2"/>
    </row>
    <row r="18" spans="1:14">
      <c r="A18" s="76" t="s">
        <v>299</v>
      </c>
      <c r="B18" s="76"/>
      <c r="C18" s="112" t="s">
        <v>300</v>
      </c>
      <c r="D18" s="270">
        <v>-3176</v>
      </c>
      <c r="E18" s="234">
        <v>-6993.88</v>
      </c>
      <c r="F18" s="125">
        <v>0</v>
      </c>
      <c r="G18" s="78"/>
      <c r="H18" s="141" t="s">
        <v>95</v>
      </c>
      <c r="I18" s="142">
        <f>SUM(I15:I17)</f>
        <v>2.25</v>
      </c>
      <c r="J18" s="177"/>
      <c r="K18" s="122"/>
      <c r="L18" s="81"/>
    </row>
    <row r="19" spans="1:14">
      <c r="A19" s="10"/>
      <c r="B19" s="10"/>
      <c r="C19" s="140" t="s">
        <v>285</v>
      </c>
      <c r="D19" s="271">
        <v>146654.49128724003</v>
      </c>
      <c r="E19" s="215">
        <v>149958.75</v>
      </c>
      <c r="F19" s="215">
        <f>ROUND(F$66*I18/$I$47,-3)</f>
        <v>147000</v>
      </c>
      <c r="G19" s="78"/>
      <c r="I19" s="183">
        <f>2.25-I18</f>
        <v>0</v>
      </c>
      <c r="J19" s="182" t="s">
        <v>292</v>
      </c>
      <c r="K19" s="122"/>
      <c r="L19" s="175"/>
    </row>
    <row r="20" spans="1:14">
      <c r="D20" s="112"/>
      <c r="E20" s="112"/>
      <c r="F20" s="131"/>
      <c r="G20" s="112"/>
      <c r="H20" s="15"/>
      <c r="I20" s="15"/>
      <c r="J20" s="15"/>
      <c r="K20" s="124"/>
    </row>
    <row r="21" spans="1:14">
      <c r="C21" s="112"/>
      <c r="D21" s="112"/>
      <c r="E21" s="112"/>
      <c r="F21" s="131"/>
      <c r="G21" s="112"/>
      <c r="H21" s="15"/>
      <c r="I21" s="15"/>
      <c r="J21" s="15"/>
      <c r="K21" s="124"/>
    </row>
    <row r="22" spans="1:14">
      <c r="A22" s="343">
        <v>30</v>
      </c>
      <c r="B22" s="344"/>
      <c r="C22" s="345" t="s">
        <v>301</v>
      </c>
      <c r="D22" s="346">
        <f>SUM(D23:D27)</f>
        <v>5299614.7671163576</v>
      </c>
      <c r="E22" s="346">
        <f>SUM(E23:E27)</f>
        <v>5800048.4300000006</v>
      </c>
      <c r="F22" s="346">
        <f>SUM(F23:F27)</f>
        <v>5684000</v>
      </c>
      <c r="G22" s="347"/>
      <c r="H22" s="345" t="s">
        <v>269</v>
      </c>
      <c r="I22" s="345" t="str">
        <f>I4</f>
        <v>Budsjetterte årsverk 2025</v>
      </c>
      <c r="J22" s="348"/>
      <c r="K22" s="135"/>
      <c r="L22" s="79"/>
    </row>
    <row r="23" spans="1:14">
      <c r="A23" s="76" t="s">
        <v>302</v>
      </c>
      <c r="B23" s="76"/>
      <c r="C23" s="112" t="s">
        <v>271</v>
      </c>
      <c r="D23" s="269">
        <v>3828248.03</v>
      </c>
      <c r="E23" s="125">
        <v>4154370.14</v>
      </c>
      <c r="F23" s="125">
        <v>4067000</v>
      </c>
      <c r="G23" s="77"/>
      <c r="H23" s="349" t="s">
        <v>303</v>
      </c>
      <c r="I23" s="144">
        <f>4.26+0.66</f>
        <v>4.92</v>
      </c>
      <c r="J23" s="178" t="s">
        <v>304</v>
      </c>
      <c r="K23" s="145"/>
      <c r="L23" s="79"/>
      <c r="M23" s="79"/>
      <c r="N23" s="79"/>
    </row>
    <row r="24" spans="1:14">
      <c r="A24" s="76">
        <v>5020</v>
      </c>
      <c r="B24" s="76"/>
      <c r="C24" s="112" t="s">
        <v>274</v>
      </c>
      <c r="D24" s="269">
        <v>459389.80999999994</v>
      </c>
      <c r="E24" s="125">
        <v>498524.42</v>
      </c>
      <c r="F24" s="125">
        <v>488000</v>
      </c>
      <c r="G24" s="77"/>
      <c r="H24" s="146" t="s">
        <v>305</v>
      </c>
      <c r="I24" s="144">
        <f>0.6+0.09</f>
        <v>0.69</v>
      </c>
      <c r="J24" s="178" t="s">
        <v>306</v>
      </c>
      <c r="K24" s="145"/>
      <c r="L24" s="79"/>
      <c r="M24" s="79"/>
      <c r="N24" s="79"/>
    </row>
    <row r="25" spans="1:14">
      <c r="A25" s="76" t="s">
        <v>277</v>
      </c>
      <c r="B25" s="76"/>
      <c r="C25" s="112" t="s">
        <v>278</v>
      </c>
      <c r="D25" s="269">
        <v>604831.69999999995</v>
      </c>
      <c r="E25" s="125">
        <v>658035.54</v>
      </c>
      <c r="F25" s="125">
        <v>642000</v>
      </c>
      <c r="G25" s="77"/>
      <c r="H25" s="146" t="s">
        <v>307</v>
      </c>
      <c r="I25" s="144">
        <f>0.4+0.06</f>
        <v>0.46</v>
      </c>
      <c r="J25" s="178" t="s">
        <v>308</v>
      </c>
      <c r="K25" s="145"/>
      <c r="L25" s="79"/>
      <c r="M25" s="79"/>
    </row>
    <row r="26" spans="1:14">
      <c r="A26" s="76" t="s">
        <v>299</v>
      </c>
      <c r="B26" s="76"/>
      <c r="C26" s="112" t="s">
        <v>300</v>
      </c>
      <c r="D26" s="270">
        <v>-11700</v>
      </c>
      <c r="E26" s="234">
        <v>-2746.38</v>
      </c>
      <c r="F26" s="125">
        <v>0</v>
      </c>
      <c r="G26" s="77"/>
      <c r="H26" s="146" t="s">
        <v>309</v>
      </c>
      <c r="I26" s="144">
        <f>0.6+0.09</f>
        <v>0.69</v>
      </c>
      <c r="J26" s="178" t="s">
        <v>310</v>
      </c>
      <c r="K26" s="145"/>
      <c r="L26" s="82"/>
      <c r="M26" s="79"/>
    </row>
    <row r="27" spans="1:14">
      <c r="A27" s="10"/>
      <c r="B27" s="10"/>
      <c r="C27" s="157" t="s">
        <v>285</v>
      </c>
      <c r="D27" s="273">
        <v>418845.22711635748</v>
      </c>
      <c r="E27" s="214">
        <v>491864.71</v>
      </c>
      <c r="F27" s="214">
        <f>ROUND(F$66*I30/$I$47,-3)</f>
        <v>487000</v>
      </c>
      <c r="G27" s="77"/>
      <c r="H27" s="146" t="s">
        <v>311</v>
      </c>
      <c r="I27" s="144">
        <f>0.4+0.06</f>
        <v>0.46</v>
      </c>
      <c r="J27" s="178" t="s">
        <v>312</v>
      </c>
      <c r="K27" s="145"/>
      <c r="L27" s="82"/>
      <c r="M27" s="79"/>
    </row>
    <row r="28" spans="1:14">
      <c r="A28" s="10"/>
      <c r="B28" s="10"/>
      <c r="D28" s="112"/>
      <c r="E28" s="112"/>
      <c r="F28" s="112"/>
      <c r="G28" s="77"/>
      <c r="H28" s="146" t="s">
        <v>313</v>
      </c>
      <c r="I28" s="144">
        <v>0.24</v>
      </c>
      <c r="J28" s="178" t="s">
        <v>314</v>
      </c>
      <c r="K28" s="145"/>
      <c r="L28" s="82"/>
      <c r="M28" s="79"/>
    </row>
    <row r="29" spans="1:14">
      <c r="A29" s="10"/>
      <c r="B29" s="10"/>
      <c r="D29" s="112"/>
      <c r="E29" s="112"/>
      <c r="F29" s="112"/>
      <c r="G29" s="77"/>
      <c r="H29" s="239" t="s">
        <v>315</v>
      </c>
      <c r="I29" s="144">
        <v>0</v>
      </c>
      <c r="J29" s="278"/>
      <c r="K29" s="145"/>
      <c r="L29" s="82"/>
      <c r="M29" s="79"/>
    </row>
    <row r="30" spans="1:14">
      <c r="D30" s="112"/>
      <c r="E30" s="112"/>
      <c r="F30" s="112"/>
      <c r="G30" s="77"/>
      <c r="H30" s="148" t="s">
        <v>95</v>
      </c>
      <c r="I30" s="149">
        <f>SUM(I23:I29)</f>
        <v>7.46</v>
      </c>
      <c r="J30" s="171"/>
      <c r="K30" s="134"/>
      <c r="M30" s="79"/>
    </row>
    <row r="31" spans="1:14">
      <c r="C31" s="112"/>
      <c r="D31" s="112"/>
      <c r="E31" s="112"/>
      <c r="F31" s="112"/>
      <c r="G31" s="112"/>
      <c r="H31" s="112"/>
      <c r="I31" s="183">
        <f>7.46-I30</f>
        <v>0</v>
      </c>
      <c r="J31" s="184" t="s">
        <v>292</v>
      </c>
      <c r="K31" s="122"/>
    </row>
    <row r="32" spans="1:14">
      <c r="A32" s="350">
        <v>50</v>
      </c>
      <c r="B32" s="351"/>
      <c r="C32" s="352" t="s">
        <v>316</v>
      </c>
      <c r="D32" s="353">
        <f>SUM(D33:D37)</f>
        <v>1633253.4843676221</v>
      </c>
      <c r="E32" s="353">
        <f>SUM(E33:E37)</f>
        <v>1718192.75</v>
      </c>
      <c r="F32" s="353">
        <f>SUM(F33:F37)</f>
        <v>2065000</v>
      </c>
      <c r="G32" s="354"/>
      <c r="H32" s="352" t="s">
        <v>269</v>
      </c>
      <c r="I32" s="352" t="str">
        <f>I4</f>
        <v>Budsjetterte årsverk 2025</v>
      </c>
      <c r="J32" s="355"/>
      <c r="K32" s="15"/>
    </row>
    <row r="33" spans="1:13">
      <c r="A33" s="76">
        <v>5000</v>
      </c>
      <c r="B33" s="76"/>
      <c r="C33" s="112" t="s">
        <v>271</v>
      </c>
      <c r="D33" s="269">
        <v>1557875.95</v>
      </c>
      <c r="E33" s="125">
        <v>1319691.71</v>
      </c>
      <c r="F33" s="125">
        <v>1477000</v>
      </c>
      <c r="G33" s="112"/>
      <c r="H33" s="150" t="s">
        <v>317</v>
      </c>
      <c r="I33" s="151">
        <f>1+1.08+0.15+0.5</f>
        <v>2.73</v>
      </c>
      <c r="J33" s="181" t="s">
        <v>318</v>
      </c>
      <c r="K33" s="15"/>
      <c r="L33" s="2"/>
    </row>
    <row r="34" spans="1:13">
      <c r="A34" s="76">
        <v>5020</v>
      </c>
      <c r="B34" s="76"/>
      <c r="C34" s="112" t="s">
        <v>274</v>
      </c>
      <c r="D34" s="269">
        <v>186945.07</v>
      </c>
      <c r="E34" s="125">
        <v>158363</v>
      </c>
      <c r="F34" s="125">
        <v>177000</v>
      </c>
      <c r="G34" s="77"/>
      <c r="H34" s="150" t="s">
        <v>319</v>
      </c>
      <c r="I34" s="241">
        <v>0</v>
      </c>
      <c r="J34" s="181"/>
      <c r="K34" s="15"/>
    </row>
    <row r="35" spans="1:13">
      <c r="A35" s="76" t="s">
        <v>277</v>
      </c>
      <c r="B35" s="76"/>
      <c r="C35" s="112" t="s">
        <v>278</v>
      </c>
      <c r="D35" s="274">
        <v>183015.13</v>
      </c>
      <c r="E35" s="125">
        <v>208987.82</v>
      </c>
      <c r="F35" s="125">
        <v>233000</v>
      </c>
      <c r="G35" s="112"/>
      <c r="H35" s="152" t="s">
        <v>95</v>
      </c>
      <c r="I35" s="153">
        <f>SUM(I33:I34)</f>
        <v>2.73</v>
      </c>
      <c r="J35" s="173"/>
      <c r="K35" s="15"/>
    </row>
    <row r="36" spans="1:13">
      <c r="A36" s="76" t="s">
        <v>299</v>
      </c>
      <c r="B36" s="76"/>
      <c r="C36" s="112" t="s">
        <v>300</v>
      </c>
      <c r="D36" s="275">
        <v>-423052</v>
      </c>
      <c r="E36" s="234">
        <v>-158797.53</v>
      </c>
      <c r="F36" s="125">
        <v>0</v>
      </c>
      <c r="G36" s="112"/>
      <c r="H36" s="143"/>
      <c r="I36" s="182">
        <f>2.73-I35</f>
        <v>0</v>
      </c>
      <c r="J36" s="184" t="s">
        <v>292</v>
      </c>
      <c r="K36" s="122"/>
    </row>
    <row r="37" spans="1:13">
      <c r="A37" s="10"/>
      <c r="B37" s="10"/>
      <c r="C37" s="158" t="s">
        <v>285</v>
      </c>
      <c r="D37" s="268">
        <v>128469.33436762226</v>
      </c>
      <c r="E37" s="213">
        <v>189947.75</v>
      </c>
      <c r="F37" s="213">
        <f>ROUND(F$66*I35/$I$47,-3)</f>
        <v>178000</v>
      </c>
      <c r="G37" s="112"/>
      <c r="K37" s="15"/>
      <c r="L37" s="2"/>
      <c r="M37" s="2"/>
    </row>
    <row r="38" spans="1:13">
      <c r="D38" s="112"/>
      <c r="E38" s="112"/>
      <c r="F38" s="112"/>
      <c r="G38" s="122"/>
      <c r="H38" s="15"/>
      <c r="I38" s="15"/>
      <c r="J38" s="15"/>
      <c r="K38" s="15"/>
      <c r="L38" s="2"/>
      <c r="M38" s="2"/>
    </row>
    <row r="39" spans="1:13">
      <c r="C39" s="112"/>
      <c r="D39" s="112"/>
      <c r="E39" s="112"/>
      <c r="F39" s="112"/>
      <c r="G39" s="112"/>
      <c r="H39" s="15"/>
      <c r="I39" s="15"/>
      <c r="J39" s="15"/>
      <c r="K39" s="15"/>
      <c r="L39" s="2"/>
      <c r="M39" s="2"/>
    </row>
    <row r="40" spans="1:13">
      <c r="A40" s="350">
        <v>70</v>
      </c>
      <c r="B40" s="351"/>
      <c r="C40" s="352" t="s">
        <v>320</v>
      </c>
      <c r="D40" s="353">
        <f>SUM(D41:D45)</f>
        <v>2459300.2366947718</v>
      </c>
      <c r="E40" s="353">
        <f>SUM(E41:E45)</f>
        <v>2567640.9700000002</v>
      </c>
      <c r="F40" s="353">
        <f>SUM(F41:F45)</f>
        <v>2471752</v>
      </c>
      <c r="G40" s="354"/>
      <c r="H40" s="352" t="s">
        <v>269</v>
      </c>
      <c r="I40" s="352" t="str">
        <f>I4</f>
        <v>Budsjetterte årsverk 2025</v>
      </c>
      <c r="J40" s="355"/>
      <c r="K40" s="122"/>
      <c r="L40" s="2"/>
      <c r="M40" s="2"/>
    </row>
    <row r="41" spans="1:13">
      <c r="A41" s="76">
        <v>5000</v>
      </c>
      <c r="B41" s="76"/>
      <c r="C41" s="112" t="s">
        <v>271</v>
      </c>
      <c r="D41" s="269">
        <v>1977097.43</v>
      </c>
      <c r="E41" s="125">
        <v>1881388.32</v>
      </c>
      <c r="F41" s="125">
        <v>1888000</v>
      </c>
      <c r="G41" s="77"/>
      <c r="H41" s="150" t="s">
        <v>321</v>
      </c>
      <c r="I41" s="151">
        <v>0</v>
      </c>
      <c r="J41" s="356"/>
      <c r="K41" s="122"/>
      <c r="L41" s="2"/>
      <c r="M41" s="2"/>
    </row>
    <row r="42" spans="1:13">
      <c r="A42" s="76">
        <v>5020</v>
      </c>
      <c r="B42" s="76"/>
      <c r="C42" s="112" t="s">
        <v>274</v>
      </c>
      <c r="D42" s="269">
        <v>237251.65999999997</v>
      </c>
      <c r="E42" s="125">
        <v>225766.6</v>
      </c>
      <c r="F42" s="125">
        <v>227000</v>
      </c>
      <c r="G42" s="77"/>
      <c r="H42" s="150" t="s">
        <v>322</v>
      </c>
      <c r="I42" s="151">
        <f>1+1+0.75+0.3+0.07</f>
        <v>3.1199999999999997</v>
      </c>
      <c r="J42" s="181" t="s">
        <v>323</v>
      </c>
      <c r="K42" s="122"/>
      <c r="L42" s="2"/>
      <c r="M42" s="2"/>
    </row>
    <row r="43" spans="1:13">
      <c r="A43" s="76" t="s">
        <v>277</v>
      </c>
      <c r="B43" s="76"/>
      <c r="C43" s="112" t="s">
        <v>278</v>
      </c>
      <c r="D43" s="269">
        <f>279550.67+91611.1+467.38</f>
        <v>371629.15</v>
      </c>
      <c r="E43" s="125">
        <v>403789.21</v>
      </c>
      <c r="F43" s="125">
        <v>298000</v>
      </c>
      <c r="G43" s="112"/>
      <c r="H43" s="152" t="s">
        <v>95</v>
      </c>
      <c r="I43" s="154">
        <f>SUM(I41:I42)</f>
        <v>3.1199999999999997</v>
      </c>
      <c r="J43" s="173"/>
      <c r="K43" s="122"/>
      <c r="L43" s="2"/>
      <c r="M43" s="2"/>
    </row>
    <row r="44" spans="1:13">
      <c r="A44" s="76" t="s">
        <v>299</v>
      </c>
      <c r="B44" s="76"/>
      <c r="C44" s="112" t="s">
        <v>300</v>
      </c>
      <c r="D44" s="270">
        <v>-283305</v>
      </c>
      <c r="E44" s="234">
        <v>-145247.60999999999</v>
      </c>
      <c r="F44" s="234">
        <v>-145248</v>
      </c>
      <c r="G44" s="112"/>
      <c r="H44" s="143"/>
      <c r="I44" s="182">
        <f>3.12-I43</f>
        <v>0</v>
      </c>
      <c r="J44" s="184" t="s">
        <v>292</v>
      </c>
      <c r="K44" s="122"/>
      <c r="L44" s="2"/>
      <c r="M44" s="2"/>
    </row>
    <row r="45" spans="1:13">
      <c r="A45" s="10"/>
      <c r="B45" s="10"/>
      <c r="C45" s="158" t="s">
        <v>285</v>
      </c>
      <c r="D45" s="268">
        <f>156626.996694772</f>
        <v>156626.99669477201</v>
      </c>
      <c r="E45" s="213">
        <v>201944.45</v>
      </c>
      <c r="F45" s="213">
        <f>ROUND(F$66*I43/$I$47,-3)</f>
        <v>204000</v>
      </c>
      <c r="G45" s="15"/>
      <c r="H45" s="12"/>
      <c r="K45" s="122"/>
      <c r="L45" s="2"/>
      <c r="M45" s="2"/>
    </row>
    <row r="46" spans="1:13">
      <c r="C46" s="112"/>
      <c r="D46" s="112"/>
      <c r="E46" s="112"/>
      <c r="F46" s="112"/>
      <c r="G46" s="112"/>
      <c r="H46" s="112"/>
      <c r="I46" s="112"/>
      <c r="J46" s="122"/>
      <c r="K46" s="112"/>
      <c r="M46" s="2"/>
    </row>
    <row r="47" spans="1:13" ht="18.75" thickBot="1">
      <c r="C47" s="155" t="s">
        <v>95</v>
      </c>
      <c r="D47" s="156">
        <f>D4+D14+D22+D32+D40</f>
        <v>13775195.869999999</v>
      </c>
      <c r="E47" s="156">
        <f>E4+E14+E22+E32+E40</f>
        <v>15410348.310000001</v>
      </c>
      <c r="F47" s="156">
        <f>F4+F14+F22+F32+F40</f>
        <v>15209752</v>
      </c>
      <c r="G47" s="186"/>
      <c r="H47" s="188" t="s">
        <v>324</v>
      </c>
      <c r="I47" s="187">
        <f>I12+I18+I30+I35+I43</f>
        <v>19.700000000000003</v>
      </c>
      <c r="J47" s="122"/>
      <c r="K47" s="15"/>
      <c r="L47" s="12"/>
    </row>
    <row r="48" spans="1:13">
      <c r="C48" s="189" t="s">
        <v>325</v>
      </c>
      <c r="D48" s="196"/>
      <c r="E48" s="313">
        <f>E47-Administrasjon!E22-Kommunikasjon!E28-Forvaltning!E107-Politikk!E48-Kompetanse!E124</f>
        <v>1.0000000707805157E-2</v>
      </c>
      <c r="F48" s="196">
        <f>F47-Administrasjon!F22-Kommunikasjon!F28-Forvaltning!F107-Politikk!F48-Kompetanse!F124</f>
        <v>-1248</v>
      </c>
      <c r="G48" s="190"/>
      <c r="H48" s="185"/>
      <c r="I48" s="182">
        <f>19.7-I47</f>
        <v>0</v>
      </c>
      <c r="J48" s="184" t="s">
        <v>292</v>
      </c>
      <c r="K48" s="15"/>
    </row>
    <row r="49" spans="1:13">
      <c r="C49" s="189"/>
      <c r="D49" s="191"/>
      <c r="E49" s="191"/>
      <c r="F49" s="211"/>
      <c r="H49" s="112"/>
      <c r="I49" s="112"/>
      <c r="J49" s="122"/>
      <c r="K49" s="15"/>
    </row>
    <row r="50" spans="1:13">
      <c r="A50" s="80"/>
      <c r="B50" s="80"/>
      <c r="C50" s="357" t="s">
        <v>326</v>
      </c>
      <c r="D50" s="394" t="str">
        <f>'Budsjett 2025'!D$8</f>
        <v>Rekneskap 2024</v>
      </c>
      <c r="E50" s="394" t="str">
        <f>'Budsjett 2025'!E$8</f>
        <v>Regnskap 2025</v>
      </c>
      <c r="F50" s="394" t="str">
        <f>'Budsjett 2025'!F$8</f>
        <v>Budsjett 2025 rev. 2</v>
      </c>
      <c r="G50" s="197"/>
      <c r="H50" s="211"/>
      <c r="J50" s="87"/>
      <c r="K50" s="87"/>
      <c r="L50" s="80"/>
      <c r="M50" s="80"/>
    </row>
    <row r="51" spans="1:13">
      <c r="A51" s="86">
        <v>5900</v>
      </c>
      <c r="B51" s="80"/>
      <c r="C51" s="87" t="s">
        <v>327</v>
      </c>
      <c r="D51" s="88">
        <v>18532.61</v>
      </c>
      <c r="E51" s="88">
        <f>5352.55+260</f>
        <v>5612.55</v>
      </c>
      <c r="F51" s="88">
        <v>20000</v>
      </c>
      <c r="G51" s="86"/>
      <c r="I51" s="307"/>
      <c r="J51" s="87"/>
      <c r="K51" s="87"/>
      <c r="L51" s="80"/>
      <c r="M51" s="80"/>
    </row>
    <row r="52" spans="1:13">
      <c r="A52" s="86">
        <v>5911</v>
      </c>
      <c r="B52" s="80"/>
      <c r="C52" s="87" t="s">
        <v>328</v>
      </c>
      <c r="D52" s="88">
        <v>123137.75</v>
      </c>
      <c r="E52" s="88">
        <v>148454.26</v>
      </c>
      <c r="F52" s="88">
        <v>150000</v>
      </c>
      <c r="G52" s="86"/>
      <c r="I52" s="211"/>
      <c r="K52" s="87"/>
      <c r="L52" s="80"/>
      <c r="M52" s="80"/>
    </row>
    <row r="53" spans="1:13">
      <c r="A53" s="86">
        <v>5912</v>
      </c>
      <c r="B53" s="80"/>
      <c r="C53" s="87" t="s">
        <v>329</v>
      </c>
      <c r="D53" s="88">
        <v>-39010</v>
      </c>
      <c r="E53" s="88">
        <v>-44220</v>
      </c>
      <c r="F53" s="88">
        <v>-48000</v>
      </c>
      <c r="G53" s="86"/>
      <c r="I53" s="308"/>
      <c r="J53" s="87"/>
      <c r="K53" s="87"/>
      <c r="L53" s="80"/>
      <c r="M53" s="80"/>
    </row>
    <row r="54" spans="1:13">
      <c r="A54" s="86">
        <v>5915</v>
      </c>
      <c r="B54" s="80"/>
      <c r="C54" s="87" t="s">
        <v>330</v>
      </c>
      <c r="D54" s="88">
        <v>1140</v>
      </c>
      <c r="E54" s="88">
        <v>118.77</v>
      </c>
      <c r="F54" s="88">
        <v>1000</v>
      </c>
      <c r="G54" s="86"/>
      <c r="H54" s="211"/>
      <c r="I54" s="87"/>
      <c r="J54" s="87"/>
      <c r="K54" s="87"/>
      <c r="L54" s="80"/>
      <c r="M54" s="80"/>
    </row>
    <row r="55" spans="1:13">
      <c r="A55" s="86">
        <v>5920</v>
      </c>
      <c r="B55" s="80"/>
      <c r="C55" s="87" t="s">
        <v>331</v>
      </c>
      <c r="D55" s="88">
        <f>8758.75+904.17</f>
        <v>9662.92</v>
      </c>
      <c r="E55" s="88">
        <v>10910.62</v>
      </c>
      <c r="F55" s="88">
        <v>11000</v>
      </c>
      <c r="G55" s="86"/>
      <c r="I55" s="87"/>
      <c r="J55" s="296"/>
      <c r="K55" s="87"/>
      <c r="L55" s="80"/>
      <c r="M55" s="80"/>
    </row>
    <row r="56" spans="1:13">
      <c r="A56" s="86">
        <v>5930</v>
      </c>
      <c r="B56" s="80"/>
      <c r="C56" s="87" t="s">
        <v>332</v>
      </c>
      <c r="D56" s="88">
        <v>501890</v>
      </c>
      <c r="E56" s="88">
        <v>642626.86</v>
      </c>
      <c r="F56" s="88">
        <v>650000</v>
      </c>
      <c r="G56" s="86"/>
      <c r="H56" s="211"/>
      <c r="J56" s="87"/>
      <c r="K56" s="87"/>
      <c r="L56" s="80"/>
      <c r="M56" s="80"/>
    </row>
    <row r="57" spans="1:13">
      <c r="A57" s="86">
        <v>5930</v>
      </c>
      <c r="B57" s="80"/>
      <c r="C57" s="87" t="s">
        <v>333</v>
      </c>
      <c r="D57" s="88">
        <v>222703</v>
      </c>
      <c r="E57" s="88">
        <v>239738</v>
      </c>
      <c r="F57" s="88">
        <v>200000</v>
      </c>
      <c r="G57" s="86"/>
      <c r="J57" s="87"/>
      <c r="K57" s="87"/>
      <c r="L57" s="80"/>
      <c r="M57" s="80"/>
    </row>
    <row r="58" spans="1:13">
      <c r="A58" s="86">
        <v>5931</v>
      </c>
      <c r="B58" s="80"/>
      <c r="C58" s="87" t="s">
        <v>334</v>
      </c>
      <c r="D58" s="88">
        <v>1216</v>
      </c>
      <c r="E58" s="11">
        <v>0</v>
      </c>
      <c r="F58" s="88">
        <v>0</v>
      </c>
      <c r="G58" s="86"/>
      <c r="H58" s="227"/>
      <c r="I58" s="309"/>
      <c r="J58" s="87"/>
      <c r="K58" s="87"/>
      <c r="L58" s="80"/>
      <c r="M58" s="80"/>
    </row>
    <row r="59" spans="1:13">
      <c r="A59" s="86">
        <v>5933</v>
      </c>
      <c r="B59" s="80"/>
      <c r="C59" s="87" t="s">
        <v>335</v>
      </c>
      <c r="D59" s="88">
        <v>11083</v>
      </c>
      <c r="E59" s="88">
        <v>11390</v>
      </c>
      <c r="F59" s="88">
        <v>13000</v>
      </c>
      <c r="G59" s="86"/>
      <c r="H59" s="211"/>
      <c r="J59" s="87"/>
      <c r="K59" s="87"/>
      <c r="L59" s="80"/>
      <c r="M59" s="80"/>
    </row>
    <row r="60" spans="1:13">
      <c r="A60" s="86">
        <v>5940</v>
      </c>
      <c r="B60" s="80"/>
      <c r="C60" s="87" t="s">
        <v>336</v>
      </c>
      <c r="D60" s="88">
        <f>32081.5+4057.42</f>
        <v>36138.92</v>
      </c>
      <c r="E60" s="88">
        <v>48944.04</v>
      </c>
      <c r="F60" s="88">
        <v>45000</v>
      </c>
      <c r="G60" s="86"/>
      <c r="I60" s="87"/>
      <c r="J60" s="87"/>
      <c r="K60" s="87"/>
      <c r="L60" s="80"/>
      <c r="M60" s="80"/>
    </row>
    <row r="61" spans="1:13">
      <c r="A61" s="216" t="s">
        <v>337</v>
      </c>
      <c r="B61" s="80"/>
      <c r="C61" s="87" t="s">
        <v>338</v>
      </c>
      <c r="D61" s="88">
        <f>94601.33-8350+7405</f>
        <v>93656.33</v>
      </c>
      <c r="E61" s="88">
        <v>112824.85</v>
      </c>
      <c r="F61" s="88">
        <v>100000</v>
      </c>
      <c r="G61" s="86"/>
      <c r="I61" s="87"/>
      <c r="J61" s="87"/>
      <c r="K61" s="87"/>
      <c r="L61" s="80"/>
      <c r="M61" s="80"/>
    </row>
    <row r="62" spans="1:13">
      <c r="A62" s="216">
        <v>5990</v>
      </c>
      <c r="B62" s="80"/>
      <c r="C62" s="87" t="s">
        <v>339</v>
      </c>
      <c r="D62" s="88">
        <f>8446-3650-400-399-400-259-399-399</f>
        <v>2540</v>
      </c>
      <c r="E62" s="88">
        <v>172.5</v>
      </c>
      <c r="F62" s="88">
        <v>10000</v>
      </c>
      <c r="G62" s="86"/>
      <c r="I62" s="87"/>
      <c r="J62" s="87"/>
      <c r="K62" s="87"/>
      <c r="L62" s="80"/>
      <c r="M62" s="80"/>
    </row>
    <row r="63" spans="1:13">
      <c r="A63" s="216" t="s">
        <v>340</v>
      </c>
      <c r="B63" s="80"/>
      <c r="C63" s="87" t="s">
        <v>341</v>
      </c>
      <c r="D63" s="88">
        <f>4050-(-3650-400-399-400-259-399-399)</f>
        <v>9956</v>
      </c>
      <c r="E63" s="88">
        <v>12160.48</v>
      </c>
      <c r="F63" s="88">
        <v>10000</v>
      </c>
      <c r="G63" s="86"/>
      <c r="I63" s="87"/>
      <c r="J63" s="87"/>
      <c r="K63" s="87"/>
      <c r="M63" s="80"/>
    </row>
    <row r="64" spans="1:13">
      <c r="A64" s="216" t="s">
        <v>340</v>
      </c>
      <c r="B64" s="80"/>
      <c r="C64" s="87" t="s">
        <v>342</v>
      </c>
      <c r="D64" s="88">
        <v>50946.83</v>
      </c>
      <c r="E64" s="88">
        <v>45371.23</v>
      </c>
      <c r="F64" s="88">
        <f>50000</f>
        <v>50000</v>
      </c>
      <c r="G64" s="86"/>
      <c r="J64" s="87"/>
      <c r="K64" s="87"/>
      <c r="M64" s="80"/>
    </row>
    <row r="65" spans="1:13">
      <c r="A65" s="216" t="s">
        <v>340</v>
      </c>
      <c r="B65" s="80"/>
      <c r="C65" s="87" t="s">
        <v>343</v>
      </c>
      <c r="D65" s="88">
        <v>69102.320000000007</v>
      </c>
      <c r="E65" s="293">
        <f>64423.19+7780</f>
        <v>72203.19</v>
      </c>
      <c r="F65" s="88">
        <v>75000</v>
      </c>
      <c r="G65" s="86"/>
      <c r="J65" s="87"/>
      <c r="K65" s="87"/>
      <c r="M65" s="80"/>
    </row>
    <row r="66" spans="1:13" ht="18.75" thickBot="1">
      <c r="A66" s="80"/>
      <c r="B66" s="80"/>
      <c r="C66" s="155" t="s">
        <v>95</v>
      </c>
      <c r="D66" s="156">
        <f>SUM(D51:D64)</f>
        <v>1043593.36</v>
      </c>
      <c r="E66" s="312">
        <f>SUM(E51:E65)</f>
        <v>1306307.3499999999</v>
      </c>
      <c r="F66" s="156">
        <f>SUM(F51:F65)</f>
        <v>1287000</v>
      </c>
      <c r="G66" s="112"/>
      <c r="I66" s="87"/>
      <c r="J66" s="122"/>
      <c r="K66" s="87"/>
      <c r="L66" s="80"/>
    </row>
    <row r="67" spans="1:13">
      <c r="C67" s="189" t="s">
        <v>344</v>
      </c>
      <c r="D67" s="276">
        <f>D66-D9-D19-D27-D37-D45</f>
        <v>3.2014213502407074E-10</v>
      </c>
      <c r="E67" s="306">
        <f>E66-E9-E19-E27-E37-E45</f>
        <v>0</v>
      </c>
      <c r="F67" s="198">
        <f>F66-F9-F19-F27-F37-F45</f>
        <v>1000</v>
      </c>
      <c r="G67" s="112"/>
      <c r="H67" s="112"/>
      <c r="J67" s="122"/>
      <c r="K67" s="112"/>
    </row>
    <row r="68" spans="1:13">
      <c r="C68" s="189" t="s">
        <v>345</v>
      </c>
      <c r="D68" s="190"/>
      <c r="E68" s="190"/>
      <c r="F68" s="198"/>
      <c r="G68" s="122"/>
      <c r="H68" s="112"/>
      <c r="I68" s="112"/>
      <c r="J68" s="112"/>
      <c r="K68" s="112"/>
    </row>
    <row r="69" spans="1:13">
      <c r="E69" s="12"/>
      <c r="F69" s="189"/>
      <c r="G69" s="189"/>
      <c r="H69" s="190"/>
      <c r="I69" s="112"/>
      <c r="J69" s="122"/>
      <c r="K69" s="122"/>
    </row>
    <row r="70" spans="1:13">
      <c r="C70" s="190"/>
      <c r="D70" s="190"/>
      <c r="E70" s="190"/>
      <c r="F70" s="189"/>
      <c r="G70" s="189"/>
      <c r="H70" s="196"/>
      <c r="I70" s="112"/>
      <c r="J70" s="122"/>
      <c r="K70" s="122"/>
    </row>
    <row r="71" spans="1:13">
      <c r="C71" s="190"/>
      <c r="D71" s="190"/>
      <c r="E71" s="190"/>
      <c r="F71" s="190"/>
      <c r="G71" s="190"/>
      <c r="H71" s="86"/>
      <c r="I71" s="112"/>
      <c r="J71" s="122"/>
      <c r="K71" s="122"/>
    </row>
    <row r="72" spans="1:13">
      <c r="C72" s="190"/>
      <c r="D72" s="190"/>
      <c r="E72" s="196"/>
      <c r="F72" s="217"/>
      <c r="G72" s="190"/>
      <c r="H72" s="190"/>
      <c r="I72" s="112"/>
      <c r="J72" s="122"/>
      <c r="K72" s="122"/>
    </row>
    <row r="73" spans="1:13">
      <c r="C73" s="190"/>
      <c r="D73" s="190"/>
      <c r="E73" s="190"/>
      <c r="F73" s="192"/>
      <c r="G73" s="192"/>
      <c r="H73" s="31"/>
      <c r="I73" s="112"/>
      <c r="J73" s="122"/>
      <c r="K73" s="122"/>
    </row>
    <row r="74" spans="1:13">
      <c r="C74" s="190"/>
      <c r="D74" s="190"/>
      <c r="E74" s="190"/>
      <c r="F74" s="190"/>
      <c r="G74" s="190"/>
      <c r="H74" s="190"/>
    </row>
  </sheetData>
  <sheetProtection algorithmName="SHA-512" hashValue="E8gncyTcmKveiMLMnDdQHq0pKqrGUd2e3snBa8AbDhCBoo/RztCiMyeWpJxlhUSocyjNSfTXrcxgzt4vlwdA6w==" saltValue="hK79ktwHW5mUdm07vdowow==" spinCount="100000" sheet="1" formatCells="0" formatColumns="0" formatRows="0" insertColumns="0" insertRows="0" insertHyperlinks="0" deleteColumns="0" deleteRows="0" sort="0" autoFilter="0" pivotTables="0"/>
  <phoneticPr fontId="7" type="noConversion"/>
  <pageMargins left="0.78740157480314965" right="0.78740157480314965" top="0.98425196850393704" bottom="0.98425196850393704" header="0.51181102362204722" footer="0.51181102362204722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8DC6-CD7B-4EFF-A197-AC70CD291444}">
  <sheetPr codeName="Ark9">
    <tabColor theme="7" tint="0.59999389629810485"/>
  </sheetPr>
  <dimension ref="A1:L51"/>
  <sheetViews>
    <sheetView showGridLines="0" tabSelected="1" topLeftCell="B1" zoomScaleNormal="100" workbookViewId="0">
      <selection activeCell="E5" sqref="E5"/>
    </sheetView>
  </sheetViews>
  <sheetFormatPr baseColWidth="10" defaultColWidth="11.42578125" defaultRowHeight="15"/>
  <cols>
    <col min="1" max="1" width="11.7109375" customWidth="1"/>
    <col min="2" max="2" width="5.28515625" customWidth="1"/>
    <col min="3" max="3" width="65.85546875" bestFit="1" customWidth="1"/>
    <col min="4" max="6" width="25.28515625" customWidth="1"/>
    <col min="7" max="7" width="78" style="228" bestFit="1" customWidth="1"/>
    <col min="9" max="9" width="12.140625" bestFit="1" customWidth="1"/>
    <col min="10" max="10" width="4.5703125" bestFit="1" customWidth="1"/>
    <col min="11" max="11" width="17.42578125" bestFit="1" customWidth="1"/>
    <col min="12" max="12" width="18.42578125" bestFit="1" customWidth="1"/>
  </cols>
  <sheetData>
    <row r="1" spans="1:12" ht="21">
      <c r="A1" s="89" t="s">
        <v>346</v>
      </c>
      <c r="B1" s="89"/>
      <c r="C1" s="14"/>
      <c r="D1" s="2"/>
      <c r="E1" s="2"/>
      <c r="F1" s="2"/>
      <c r="G1" s="301"/>
    </row>
    <row r="2" spans="1:12" ht="16.5">
      <c r="A2" s="2"/>
      <c r="B2" s="2"/>
      <c r="C2" s="2"/>
      <c r="D2" s="2"/>
      <c r="E2" s="2"/>
      <c r="F2" s="2"/>
      <c r="G2" s="301"/>
    </row>
    <row r="3" spans="1:12" ht="16.5">
      <c r="A3" s="72" t="s">
        <v>92</v>
      </c>
      <c r="B3" s="72"/>
      <c r="C3" s="107"/>
      <c r="D3" s="106"/>
      <c r="E3" s="106"/>
      <c r="F3" s="2"/>
      <c r="G3" s="301"/>
    </row>
    <row r="4" spans="1:12" ht="18">
      <c r="A4" s="358">
        <v>96000</v>
      </c>
      <c r="B4" s="358"/>
      <c r="C4" s="359" t="s">
        <v>347</v>
      </c>
      <c r="D4" s="395" t="str">
        <f>'Budsjett 2025'!$D$8</f>
        <v>Rekneskap 2024</v>
      </c>
      <c r="E4" s="396" t="str">
        <f>'Budsjett 2025'!$E$8</f>
        <v>Regnskap 2025</v>
      </c>
      <c r="F4" s="395" t="str">
        <f>'Budsjett 2025'!$F$8</f>
        <v>Budsjett 2025 rev. 2</v>
      </c>
      <c r="G4" s="301"/>
    </row>
    <row r="5" spans="1:12" s="1" customFormat="1" ht="16.5">
      <c r="A5" s="15">
        <v>6017</v>
      </c>
      <c r="B5" s="15"/>
      <c r="C5" s="5" t="s">
        <v>348</v>
      </c>
      <c r="D5" s="243">
        <f>220743.96</f>
        <v>220743.96</v>
      </c>
      <c r="E5" s="22">
        <v>148523.35</v>
      </c>
      <c r="F5" s="7">
        <v>180000</v>
      </c>
      <c r="H5" s="22"/>
    </row>
    <row r="6" spans="1:12" s="1" customFormat="1" ht="16.5">
      <c r="A6" s="15">
        <v>6018</v>
      </c>
      <c r="B6" s="15"/>
      <c r="C6" s="5" t="s">
        <v>349</v>
      </c>
      <c r="D6" s="243">
        <v>42996.480000000003</v>
      </c>
      <c r="E6" s="22">
        <v>72204.72</v>
      </c>
      <c r="F6" s="7">
        <v>72000</v>
      </c>
      <c r="G6" s="301"/>
    </row>
    <row r="7" spans="1:12" s="1" customFormat="1" ht="16.5">
      <c r="A7" s="15">
        <v>6100</v>
      </c>
      <c r="B7" s="15"/>
      <c r="C7" s="5" t="s">
        <v>350</v>
      </c>
      <c r="D7" s="245">
        <f>110+15.52+51.2+275.1</f>
        <v>451.82000000000005</v>
      </c>
      <c r="E7" s="22">
        <v>897.5</v>
      </c>
      <c r="F7" s="7">
        <v>5000</v>
      </c>
      <c r="G7" s="301"/>
      <c r="K7" s="300"/>
      <c r="L7" s="298"/>
    </row>
    <row r="8" spans="1:12" s="1" customFormat="1" ht="16.5">
      <c r="A8" s="15">
        <v>6300</v>
      </c>
      <c r="B8" s="15"/>
      <c r="C8" s="5" t="s">
        <v>351</v>
      </c>
      <c r="D8" s="243">
        <v>3130710.49</v>
      </c>
      <c r="E8" s="22">
        <v>2055568.98</v>
      </c>
      <c r="F8" s="7">
        <v>2350000</v>
      </c>
      <c r="G8" s="301"/>
      <c r="J8" s="304"/>
      <c r="K8" s="298"/>
      <c r="L8" s="299"/>
    </row>
    <row r="9" spans="1:12" s="1" customFormat="1" ht="16.5">
      <c r="A9" s="15">
        <v>6360</v>
      </c>
      <c r="B9" s="15"/>
      <c r="C9" s="5" t="s">
        <v>352</v>
      </c>
      <c r="D9" s="243">
        <v>94519.39</v>
      </c>
      <c r="E9" s="282">
        <v>263439.64</v>
      </c>
      <c r="F9" s="7">
        <v>270000</v>
      </c>
      <c r="G9" s="301"/>
      <c r="J9" s="305"/>
      <c r="K9" s="299"/>
      <c r="L9" s="299"/>
    </row>
    <row r="10" spans="1:12" s="1" customFormat="1" ht="16.5">
      <c r="A10" s="15">
        <v>6390</v>
      </c>
      <c r="B10" s="15"/>
      <c r="C10" s="5" t="s">
        <v>353</v>
      </c>
      <c r="D10" s="243">
        <v>1905</v>
      </c>
      <c r="E10" s="22">
        <v>4209.6899999999996</v>
      </c>
      <c r="F10" s="7">
        <v>5000</v>
      </c>
      <c r="G10" s="301"/>
      <c r="J10" s="305"/>
      <c r="K10" s="299"/>
      <c r="L10" s="299"/>
    </row>
    <row r="11" spans="1:12" s="1" customFormat="1" ht="16.5">
      <c r="A11" s="15">
        <v>6430</v>
      </c>
      <c r="B11" s="15"/>
      <c r="C11" s="5" t="s">
        <v>354</v>
      </c>
      <c r="D11" s="243">
        <v>71191.009999999995</v>
      </c>
      <c r="E11" s="22">
        <v>68211.98</v>
      </c>
      <c r="F11" s="7">
        <v>75000</v>
      </c>
      <c r="G11" s="301"/>
      <c r="J11" s="305"/>
      <c r="K11" s="299"/>
      <c r="L11" s="299"/>
    </row>
    <row r="12" spans="1:12" s="1" customFormat="1" ht="16.5">
      <c r="A12" s="15">
        <v>6440</v>
      </c>
      <c r="B12" s="15"/>
      <c r="C12" s="5" t="s">
        <v>355</v>
      </c>
      <c r="D12" s="243">
        <v>394.76</v>
      </c>
      <c r="E12" s="22">
        <v>389.2</v>
      </c>
      <c r="F12" s="7">
        <v>400</v>
      </c>
      <c r="G12" s="301"/>
      <c r="H12" s="302"/>
      <c r="I12" s="302"/>
      <c r="J12" s="302"/>
      <c r="K12" s="303"/>
      <c r="L12" s="303"/>
    </row>
    <row r="13" spans="1:12" s="1" customFormat="1" ht="16.5">
      <c r="A13" s="15">
        <v>6520</v>
      </c>
      <c r="B13" s="15"/>
      <c r="C13" s="5" t="s">
        <v>356</v>
      </c>
      <c r="D13" s="243">
        <v>0</v>
      </c>
      <c r="E13" s="22">
        <v>1368</v>
      </c>
      <c r="F13" s="7">
        <v>10000</v>
      </c>
      <c r="G13" s="301"/>
    </row>
    <row r="14" spans="1:12" s="1" customFormat="1" ht="16.5">
      <c r="A14" s="15">
        <v>6540</v>
      </c>
      <c r="B14" s="15"/>
      <c r="C14" s="5" t="s">
        <v>357</v>
      </c>
      <c r="D14" s="243">
        <v>61312.87</v>
      </c>
      <c r="E14" s="22">
        <v>35984.26</v>
      </c>
      <c r="F14" s="7">
        <v>40000</v>
      </c>
      <c r="G14" s="301"/>
    </row>
    <row r="15" spans="1:12" s="1" customFormat="1" ht="16.5">
      <c r="A15" s="15">
        <v>6551</v>
      </c>
      <c r="B15" s="15"/>
      <c r="C15" s="5" t="s">
        <v>358</v>
      </c>
      <c r="D15" s="243">
        <v>70117</v>
      </c>
      <c r="E15" s="22">
        <v>126998.66</v>
      </c>
      <c r="F15" s="7">
        <v>50000</v>
      </c>
      <c r="G15" s="301"/>
    </row>
    <row r="16" spans="1:12" s="1" customFormat="1" ht="16.5">
      <c r="A16" s="15">
        <v>6552</v>
      </c>
      <c r="B16" s="15"/>
      <c r="C16" s="4" t="s">
        <v>359</v>
      </c>
      <c r="D16" s="243">
        <v>50812.5</v>
      </c>
      <c r="E16" s="22">
        <v>50112.5</v>
      </c>
      <c r="F16" s="7">
        <v>50000</v>
      </c>
      <c r="G16" s="301"/>
    </row>
    <row r="17" spans="1:11" s="1" customFormat="1" ht="16.5">
      <c r="A17" s="15">
        <v>6553</v>
      </c>
      <c r="B17" s="15"/>
      <c r="C17" s="5" t="s">
        <v>360</v>
      </c>
      <c r="D17" s="243">
        <v>172466.95</v>
      </c>
      <c r="E17" s="22">
        <v>349455.7</v>
      </c>
      <c r="F17" s="7">
        <v>300000</v>
      </c>
      <c r="G17" s="301"/>
    </row>
    <row r="18" spans="1:11" s="1" customFormat="1" ht="16.5">
      <c r="A18" s="15">
        <v>6554</v>
      </c>
      <c r="B18" s="15"/>
      <c r="C18" s="5" t="s">
        <v>361</v>
      </c>
      <c r="D18" s="243">
        <v>10264.07</v>
      </c>
      <c r="E18" s="282">
        <v>36539.97</v>
      </c>
      <c r="F18" s="7">
        <v>36500</v>
      </c>
      <c r="G18" s="301"/>
    </row>
    <row r="19" spans="1:11" s="1" customFormat="1" ht="16.5">
      <c r="A19" s="15">
        <v>6600</v>
      </c>
      <c r="B19" s="15"/>
      <c r="C19" s="5" t="s">
        <v>362</v>
      </c>
      <c r="D19" s="243">
        <v>135007.16</v>
      </c>
      <c r="E19" s="22">
        <f>1709.7+39.9+1104.17</f>
        <v>2853.7700000000004</v>
      </c>
      <c r="F19" s="7">
        <v>5000</v>
      </c>
      <c r="G19" s="22"/>
      <c r="I19" s="300"/>
    </row>
    <row r="20" spans="1:11" s="1" customFormat="1" ht="16.5">
      <c r="A20" s="15">
        <v>6610</v>
      </c>
      <c r="B20" s="15"/>
      <c r="C20" s="5" t="s">
        <v>363</v>
      </c>
      <c r="D20" s="243">
        <v>11551.1</v>
      </c>
      <c r="E20" s="22">
        <v>4668.8100000000004</v>
      </c>
      <c r="F20" s="7">
        <v>10000</v>
      </c>
      <c r="G20" s="301"/>
      <c r="I20" s="300"/>
    </row>
    <row r="21" spans="1:11" s="1" customFormat="1" ht="16.5">
      <c r="A21" s="15">
        <v>6701</v>
      </c>
      <c r="B21" s="15"/>
      <c r="C21" s="5" t="s">
        <v>364</v>
      </c>
      <c r="D21" s="243">
        <v>220675.25</v>
      </c>
      <c r="E21" s="22">
        <v>212664.59</v>
      </c>
      <c r="F21" s="7">
        <v>220000</v>
      </c>
      <c r="G21" s="301"/>
      <c r="J21" s="298"/>
    </row>
    <row r="22" spans="1:11" s="1" customFormat="1" ht="16.5">
      <c r="A22" s="15">
        <v>6705</v>
      </c>
      <c r="B22" s="15"/>
      <c r="C22" s="5" t="s">
        <v>365</v>
      </c>
      <c r="D22" s="243">
        <v>826163.97</v>
      </c>
      <c r="E22" s="22">
        <v>448099.62</v>
      </c>
      <c r="F22" s="7">
        <v>750000</v>
      </c>
      <c r="G22" s="301"/>
      <c r="J22" s="298"/>
    </row>
    <row r="23" spans="1:11" s="1" customFormat="1" ht="16.5">
      <c r="A23" s="15">
        <v>6725</v>
      </c>
      <c r="B23" s="15"/>
      <c r="C23" s="5" t="s">
        <v>366</v>
      </c>
      <c r="D23" s="243">
        <v>30500</v>
      </c>
      <c r="E23" s="22">
        <v>0</v>
      </c>
      <c r="F23" s="16">
        <v>30000</v>
      </c>
      <c r="G23" s="301"/>
      <c r="J23" s="298"/>
    </row>
    <row r="24" spans="1:11" s="1" customFormat="1" ht="16.5">
      <c r="A24" s="15">
        <v>6800</v>
      </c>
      <c r="B24" s="15"/>
      <c r="C24" s="5" t="s">
        <v>367</v>
      </c>
      <c r="D24" s="243">
        <v>69618.429999999993</v>
      </c>
      <c r="E24" s="22">
        <v>37861.300000000003</v>
      </c>
      <c r="F24" s="7">
        <v>40000</v>
      </c>
      <c r="G24" s="301"/>
      <c r="J24" s="298"/>
      <c r="K24" s="299"/>
    </row>
    <row r="25" spans="1:11" s="1" customFormat="1" ht="16.5">
      <c r="A25" s="15">
        <v>6840</v>
      </c>
      <c r="B25" s="15"/>
      <c r="C25" s="5" t="s">
        <v>368</v>
      </c>
      <c r="D25" s="243">
        <v>6637.88</v>
      </c>
      <c r="E25" s="22">
        <v>9738.2000000000007</v>
      </c>
      <c r="F25" s="7">
        <v>12000</v>
      </c>
      <c r="G25" s="301"/>
    </row>
    <row r="26" spans="1:11" s="1" customFormat="1" ht="16.5">
      <c r="A26" s="15">
        <v>6841</v>
      </c>
      <c r="B26" s="15"/>
      <c r="C26" s="5" t="s">
        <v>369</v>
      </c>
      <c r="D26" s="243">
        <v>19779.5</v>
      </c>
      <c r="E26" s="22">
        <v>12599.25</v>
      </c>
      <c r="F26" s="7">
        <v>20000</v>
      </c>
      <c r="G26" s="301"/>
      <c r="J26" s="298"/>
    </row>
    <row r="27" spans="1:11" s="1" customFormat="1" ht="16.5">
      <c r="A27" s="15">
        <v>6900</v>
      </c>
      <c r="B27" s="15"/>
      <c r="C27" s="5" t="s">
        <v>370</v>
      </c>
      <c r="D27" s="243">
        <v>26774.27</v>
      </c>
      <c r="E27" s="282">
        <v>28256.43</v>
      </c>
      <c r="F27" s="7">
        <v>30000</v>
      </c>
      <c r="G27" s="301"/>
    </row>
    <row r="28" spans="1:11" s="1" customFormat="1" ht="16.5">
      <c r="A28" s="15">
        <v>6940</v>
      </c>
      <c r="B28" s="15"/>
      <c r="C28" s="5" t="s">
        <v>371</v>
      </c>
      <c r="D28" s="243">
        <v>121.87</v>
      </c>
      <c r="E28" s="22">
        <v>135</v>
      </c>
      <c r="F28" s="7">
        <v>0</v>
      </c>
      <c r="G28" s="301"/>
    </row>
    <row r="29" spans="1:11" s="1" customFormat="1" ht="16.5">
      <c r="A29" s="15">
        <v>7321</v>
      </c>
      <c r="B29" s="15"/>
      <c r="C29" s="5" t="s">
        <v>372</v>
      </c>
      <c r="D29" s="243">
        <v>8959</v>
      </c>
      <c r="E29" s="22">
        <v>0</v>
      </c>
      <c r="F29" s="7">
        <v>0</v>
      </c>
      <c r="G29" s="235"/>
    </row>
    <row r="30" spans="1:11" s="1" customFormat="1" ht="16.5">
      <c r="A30" s="15">
        <v>7410</v>
      </c>
      <c r="B30" s="15"/>
      <c r="C30" s="5" t="s">
        <v>373</v>
      </c>
      <c r="D30" s="243">
        <v>44884</v>
      </c>
      <c r="E30" s="22">
        <v>37149.81</v>
      </c>
      <c r="F30" s="7">
        <v>45000</v>
      </c>
      <c r="G30" s="301"/>
    </row>
    <row r="31" spans="1:11" s="1" customFormat="1" ht="16.5">
      <c r="A31" s="15">
        <v>7500</v>
      </c>
      <c r="B31" s="15"/>
      <c r="C31" s="5" t="s">
        <v>374</v>
      </c>
      <c r="D31" s="243">
        <f>8318.92+527.42</f>
        <v>8846.34</v>
      </c>
      <c r="E31" s="22">
        <f>6422.04</f>
        <v>6422.04</v>
      </c>
      <c r="F31" s="7">
        <v>7000</v>
      </c>
      <c r="G31" s="301"/>
    </row>
    <row r="32" spans="1:11" s="1" customFormat="1" ht="16.5">
      <c r="A32" s="15">
        <v>7799</v>
      </c>
      <c r="B32" s="15"/>
      <c r="C32" s="5" t="s">
        <v>375</v>
      </c>
      <c r="D32" s="243">
        <v>2000</v>
      </c>
      <c r="E32" s="22">
        <v>799.99</v>
      </c>
      <c r="F32" s="7">
        <v>0</v>
      </c>
      <c r="G32" s="301"/>
    </row>
    <row r="33" spans="1:7" s="1" customFormat="1" ht="18" thickBot="1">
      <c r="A33" s="75"/>
      <c r="B33" s="75"/>
      <c r="C33" s="73" t="s">
        <v>95</v>
      </c>
      <c r="D33" s="74">
        <f>SUM(D5:D32)</f>
        <v>5339405.0699999994</v>
      </c>
      <c r="E33" s="297">
        <f>SUM(E5:E32)</f>
        <v>4015152.9600000009</v>
      </c>
      <c r="F33" s="74">
        <f>SUM(F5:F32)</f>
        <v>4612900</v>
      </c>
      <c r="G33" s="301"/>
    </row>
    <row r="34" spans="1:7" ht="16.5">
      <c r="A34" s="2"/>
      <c r="B34" s="2"/>
      <c r="C34" s="189" t="s">
        <v>325</v>
      </c>
      <c r="D34" s="34"/>
      <c r="E34" s="34">
        <f>E33-3537.55-Administrasjon!E23-Kommunikasjon!E29-Forvaltning!E108-Politikk!E49-Kompetanse!E125</f>
        <v>2.000000118277967E-2</v>
      </c>
      <c r="F34" s="34">
        <f>F33-Administrasjon!F23-Kommunikasjon!F11-Forvaltning!F97-Forvaltning!F83-Forvaltning!F71-Forvaltning!F58-Forvaltning!F44-Forvaltning!F30-Forvaltning!F15-Politikk!F8-Politikk!F29-Kompetanse!F15-Kompetanse!F30-Kompetanse!F49-Kompetanse!F64-Kompetanse!F81-Kompetanse!F95-Kompetanse!F107</f>
        <v>-1100</v>
      </c>
      <c r="G34" s="301"/>
    </row>
    <row r="35" spans="1:7" ht="16.5">
      <c r="A35" s="2"/>
      <c r="B35" s="2"/>
      <c r="C35" s="2"/>
      <c r="D35" s="2"/>
      <c r="E35" s="25"/>
      <c r="F35" s="2"/>
      <c r="G35" s="301"/>
    </row>
    <row r="37" spans="1:7">
      <c r="G37" s="301"/>
    </row>
    <row r="38" spans="1:7">
      <c r="G38" s="301"/>
    </row>
    <row r="40" spans="1:7">
      <c r="G40" s="301"/>
    </row>
    <row r="42" spans="1:7">
      <c r="G42" s="314"/>
    </row>
    <row r="49" spans="7:7">
      <c r="G49" s="314">
        <f>E19-G19</f>
        <v>2853.7700000000004</v>
      </c>
    </row>
    <row r="50" spans="7:7">
      <c r="G50" s="314">
        <f>E5-H5</f>
        <v>148523.35</v>
      </c>
    </row>
    <row r="51" spans="7:7">
      <c r="G51" s="397">
        <f>SUM(G49:G50)</f>
        <v>151377.12</v>
      </c>
    </row>
  </sheetData>
  <sheetProtection algorithmName="SHA-512" hashValue="26OEO3N6jCwYV7EUDKetadxGfC7E7ehnLMCskWBtcpgnAjJzrFi5hYAwBTUVXddEsG0B/IrCVxvfIpVWyfqoFg==" saltValue="Aw0M0H83cm9w0ILyG1Zq+A==" spinCount="100000" sheet="1" formatCells="0" formatColumns="0" formatRows="0" insertColumns="0" insertRows="0" insertHyperlinks="0" deleteColumns="0" deleteRows="0" sort="0" autoFilter="0" pivotTables="0"/>
  <phoneticPr fontId="7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a7b8592-0b35-4ec0-9d1c-86c659b3adf3">
      <UserInfo>
        <DisplayName/>
        <AccountId xsi:nil="true"/>
        <AccountType/>
      </UserInfo>
    </SharedWithUsers>
    <TaxCatchAll xmlns="fa7b8592-0b35-4ec0-9d1c-86c659b3adf3" xsi:nil="true"/>
    <lcf76f155ced4ddcb4097134ff3c332f xmlns="d94c4e08-268e-46b5-8dba-bdc54c157b54">
      <Terms xmlns="http://schemas.microsoft.com/office/infopath/2007/PartnerControls"/>
    </lcf76f155ced4ddcb4097134ff3c332f>
    <Saksnummer xmlns="d94c4e08-268e-46b5-8dba-bdc54c157b54" xsi:nil="true"/>
    <M_x00f8_tedato xmlns="d94c4e08-268e-46b5-8dba-bdc54c157b54" xsi:nil="true"/>
    <_dlc_DocId xmlns="fa7b8592-0b35-4ec0-9d1c-86c659b3adf3">SEKR-941598360-257623</_dlc_DocId>
    <_dlc_DocIdUrl xmlns="fa7b8592-0b35-4ec0-9d1c-86c659b3adf3">
      <Url>https://lnuno.sharepoint.com/sites/sekretariatet/_layouts/15/DocIdRedir.aspx?ID=SEKR-941598360-257623</Url>
      <Description>SEKR-941598360-257623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42BA927D4C9747B4CFCADB1A8E4E9F" ma:contentTypeVersion="20" ma:contentTypeDescription="Opprett et nytt dokument." ma:contentTypeScope="" ma:versionID="4cdbf6e11b8bf852da657694ff0257fe">
  <xsd:schema xmlns:xsd="http://www.w3.org/2001/XMLSchema" xmlns:xs="http://www.w3.org/2001/XMLSchema" xmlns:p="http://schemas.microsoft.com/office/2006/metadata/properties" xmlns:ns2="d94c4e08-268e-46b5-8dba-bdc54c157b54" xmlns:ns3="fa7b8592-0b35-4ec0-9d1c-86c659b3adf3" targetNamespace="http://schemas.microsoft.com/office/2006/metadata/properties" ma:root="true" ma:fieldsID="6b6665e9ecd5f8fb6307293914b1734b" ns2:_="" ns3:_="">
    <xsd:import namespace="d94c4e08-268e-46b5-8dba-bdc54c157b54"/>
    <xsd:import namespace="fa7b8592-0b35-4ec0-9d1c-86c659b3adf3"/>
    <xsd:element name="properties">
      <xsd:complexType>
        <xsd:sequence>
          <xsd:element name="documentManagement">
            <xsd:complexType>
              <xsd:all>
                <xsd:element ref="ns2:Saksnummer" minOccurs="0"/>
                <xsd:element ref="ns2:M_x00f8_tedato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c4e08-268e-46b5-8dba-bdc54c157b54" elementFormDefault="qualified">
    <xsd:import namespace="http://schemas.microsoft.com/office/2006/documentManagement/types"/>
    <xsd:import namespace="http://schemas.microsoft.com/office/infopath/2007/PartnerControls"/>
    <xsd:element name="Saksnummer" ma:index="8" nillable="true" ma:displayName="Saksnummer" ma:format="Dropdown" ma:internalName="Saksnummer">
      <xsd:simpleType>
        <xsd:restriction base="dms:Text">
          <xsd:maxLength value="255"/>
        </xsd:restriction>
      </xsd:simpleType>
    </xsd:element>
    <xsd:element name="M_x00f8_tedato" ma:index="9" nillable="true" ma:displayName="Møtedato" ma:format="DateOnly" ma:internalName="M_x00f8_tedato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09ec2e36-fd49-4390-bcc7-5730a7c022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b8592-0b35-4ec0-9d1c-86c659b3adf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_dlc_DocId" ma:index="14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15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64af99d9-a817-40c9-b047-95dbe09c050d}" ma:internalName="TaxCatchAll" ma:showField="CatchAllData" ma:web="fa7b8592-0b35-4ec0-9d1c-86c659b3ad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F4C3EE-C654-40E7-B340-47B273D74CC2}">
  <ds:schemaRefs>
    <ds:schemaRef ds:uri="http://purl.org/dc/dcmitype/"/>
    <ds:schemaRef ds:uri="d94c4e08-268e-46b5-8dba-bdc54c157b54"/>
    <ds:schemaRef ds:uri="http://purl.org/dc/terms/"/>
    <ds:schemaRef ds:uri="fa7b8592-0b35-4ec0-9d1c-86c659b3adf3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DFC2620-0282-42C2-B366-F60FB9F17ED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BB0E6C9-127D-4AFA-A835-9F91244E5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4c4e08-268e-46b5-8dba-bdc54c157b54"/>
    <ds:schemaRef ds:uri="fa7b8592-0b35-4ec0-9d1c-86c659b3ad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7973D70-D5CC-4696-B490-0D1DE3FB959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89edcde-fb62-4467-aef0-3afe537d0ad0}" enabled="0" method="" siteId="{689edcde-fb62-4467-aef0-3afe537d0a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30</vt:i4>
      </vt:variant>
    </vt:vector>
  </HeadingPairs>
  <TitlesOfParts>
    <vt:vector size="39" baseType="lpstr">
      <vt:lpstr>Budsjett 2025</vt:lpstr>
      <vt:lpstr>Inntekter</vt:lpstr>
      <vt:lpstr>Kompetanse</vt:lpstr>
      <vt:lpstr>Politikk</vt:lpstr>
      <vt:lpstr>Forvaltning</vt:lpstr>
      <vt:lpstr>Kommunikasjon</vt:lpstr>
      <vt:lpstr>Administrasjon</vt:lpstr>
      <vt:lpstr>Lønns- og personalkostnader</vt:lpstr>
      <vt:lpstr>Fordelte felleskostnader</vt:lpstr>
      <vt:lpstr>regnskap</vt:lpstr>
      <vt:lpstr>Årsverk_ADMINISTRASJON</vt:lpstr>
      <vt:lpstr>Årsverk_AKS</vt:lpstr>
      <vt:lpstr>Årsverk_Bærekraft_prosjekt</vt:lpstr>
      <vt:lpstr>Årsverk_Bærekraftsstøtta</vt:lpstr>
      <vt:lpstr>Årsverk_Flere_med</vt:lpstr>
      <vt:lpstr>Årsverk_FN_Europa_Norden</vt:lpstr>
      <vt:lpstr>Årsverk_FORVALTNING</vt:lpstr>
      <vt:lpstr>Årsverk_forvaltningsutveksling</vt:lpstr>
      <vt:lpstr>Årsverk_Frifond</vt:lpstr>
      <vt:lpstr>Årsverk_frifond25</vt:lpstr>
      <vt:lpstr>årsverk_frifond255</vt:lpstr>
      <vt:lpstr>Årsverk_Friofond25</vt:lpstr>
      <vt:lpstr>Årsverk_HatHets</vt:lpstr>
      <vt:lpstr>Årsverk_Ikke_fordeltbare_adm</vt:lpstr>
      <vt:lpstr>Årsverk_Interessepolitikk</vt:lpstr>
      <vt:lpstr>Årsverk_Komm</vt:lpstr>
      <vt:lpstr>Årsverk_KOMMUNIKASJON</vt:lpstr>
      <vt:lpstr>Årsverk_KOMPETANSE</vt:lpstr>
      <vt:lpstr>Årsverk_Kultur</vt:lpstr>
      <vt:lpstr>Årsverk_Kurs_komp_veil</vt:lpstr>
      <vt:lpstr>Årsverk_Lokaler</vt:lpstr>
      <vt:lpstr>Årsverk_MI</vt:lpstr>
      <vt:lpstr>Årsverk_NMR</vt:lpstr>
      <vt:lpstr>Årsverk_NN</vt:lpstr>
      <vt:lpstr>Årsverk_POLITIKK</vt:lpstr>
      <vt:lpstr>Årsverk_TOTALT</vt:lpstr>
      <vt:lpstr>Årsverk_Trygg</vt:lpstr>
      <vt:lpstr>Årsverk_Valgkampanje</vt:lpstr>
      <vt:lpstr>Årverk_forvaltningsutveksling</vt:lpstr>
    </vt:vector>
  </TitlesOfParts>
  <Manager/>
  <Company>lnu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 M. Ulvestad</dc:creator>
  <cp:keywords/>
  <dc:description/>
  <cp:lastModifiedBy>Kristoffer Øksnes Arentsen</cp:lastModifiedBy>
  <cp:revision/>
  <dcterms:created xsi:type="dcterms:W3CDTF">2003-03-06T11:29:34Z</dcterms:created>
  <dcterms:modified xsi:type="dcterms:W3CDTF">2026-04-15T13:53:25Z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0x0101007942BA927D4C9747B4CFCADB1A8E4E9F</vt:lpwstr>
  </property>
  <property fmtid="{D5CDD505-2E9C-101B-9397-08002B2CF9AE}" pid="3" name="_dlc_DocIdItemGuid">
    <vt:lpwstr>1fbf8ac7-6c9e-4bb8-8ef9-78e45f82860e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